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Y113" i="1"/>
  <c r="AB141"/>
  <c r="R141"/>
  <c r="AB140"/>
  <c r="R140"/>
  <c r="AB139"/>
  <c r="R139"/>
  <c r="AB138"/>
  <c r="R138"/>
  <c r="AB137"/>
  <c r="R137"/>
  <c r="AB136"/>
  <c r="R136"/>
  <c r="AB135"/>
  <c r="R135"/>
  <c r="AB134"/>
  <c r="R134"/>
  <c r="AB133"/>
  <c r="R133"/>
  <c r="AB132"/>
  <c r="AB131"/>
  <c r="AB130"/>
  <c r="AB129"/>
  <c r="V126"/>
  <c r="S126"/>
  <c r="O126"/>
  <c r="F126"/>
  <c r="C126"/>
  <c r="Y125"/>
  <c r="AA125" s="1"/>
  <c r="AB125" s="1"/>
  <c r="X125"/>
  <c r="U125"/>
  <c r="Q125"/>
  <c r="R125" s="1"/>
  <c r="N125"/>
  <c r="K125"/>
  <c r="H125"/>
  <c r="E125"/>
  <c r="Y124"/>
  <c r="AA124" s="1"/>
  <c r="AB124" s="1"/>
  <c r="X124"/>
  <c r="U124"/>
  <c r="Q124"/>
  <c r="R124" s="1"/>
  <c r="N124"/>
  <c r="K124"/>
  <c r="H124"/>
  <c r="E124"/>
  <c r="AA123"/>
  <c r="AB123" s="1"/>
  <c r="Y123"/>
  <c r="X123"/>
  <c r="U123"/>
  <c r="Q123"/>
  <c r="N123"/>
  <c r="I123"/>
  <c r="K123" s="1"/>
  <c r="H123"/>
  <c r="E123"/>
  <c r="R123" s="1"/>
  <c r="AA122"/>
  <c r="AB122" s="1"/>
  <c r="Y122"/>
  <c r="X122"/>
  <c r="U122"/>
  <c r="Q122"/>
  <c r="N122"/>
  <c r="I122"/>
  <c r="K122" s="1"/>
  <c r="H122"/>
  <c r="E122"/>
  <c r="R122" s="1"/>
  <c r="AA121"/>
  <c r="AB121" s="1"/>
  <c r="Y121"/>
  <c r="X121"/>
  <c r="U121"/>
  <c r="Q121"/>
  <c r="N121"/>
  <c r="I121"/>
  <c r="K121" s="1"/>
  <c r="H121"/>
  <c r="E121"/>
  <c r="R121" s="1"/>
  <c r="AA120"/>
  <c r="AB120" s="1"/>
  <c r="Y120"/>
  <c r="X120"/>
  <c r="U120"/>
  <c r="R120"/>
  <c r="Q120"/>
  <c r="N120"/>
  <c r="K120"/>
  <c r="H120"/>
  <c r="E120"/>
  <c r="Y119"/>
  <c r="AA119" s="1"/>
  <c r="AB119" s="1"/>
  <c r="X119"/>
  <c r="U119"/>
  <c r="Q119"/>
  <c r="R119" s="1"/>
  <c r="N119"/>
  <c r="K119"/>
  <c r="I119"/>
  <c r="H119"/>
  <c r="E119"/>
  <c r="Y118"/>
  <c r="AA118" s="1"/>
  <c r="AB118" s="1"/>
  <c r="X118"/>
  <c r="U118"/>
  <c r="Q118"/>
  <c r="R118" s="1"/>
  <c r="N118"/>
  <c r="K118"/>
  <c r="I118"/>
  <c r="H118"/>
  <c r="E118"/>
  <c r="Y117"/>
  <c r="AA117" s="1"/>
  <c r="AB117" s="1"/>
  <c r="X117"/>
  <c r="U117"/>
  <c r="Q117"/>
  <c r="R117" s="1"/>
  <c r="N117"/>
  <c r="K117"/>
  <c r="H117"/>
  <c r="E117"/>
  <c r="Z116"/>
  <c r="AA116"/>
  <c r="AB116" s="1"/>
  <c r="X116"/>
  <c r="U116"/>
  <c r="Q116"/>
  <c r="R116" s="1"/>
  <c r="L116"/>
  <c r="N116" s="1"/>
  <c r="J116"/>
  <c r="I116"/>
  <c r="K116" s="1"/>
  <c r="H116"/>
  <c r="E116"/>
  <c r="Z115"/>
  <c r="Y115"/>
  <c r="AA115" s="1"/>
  <c r="AB115" s="1"/>
  <c r="X115"/>
  <c r="U115"/>
  <c r="Q115"/>
  <c r="N115"/>
  <c r="L115"/>
  <c r="J115"/>
  <c r="I115"/>
  <c r="K115" s="1"/>
  <c r="H115"/>
  <c r="E115"/>
  <c r="R115" s="1"/>
  <c r="AA114"/>
  <c r="AB114" s="1"/>
  <c r="Y114"/>
  <c r="X114"/>
  <c r="U114"/>
  <c r="Q114"/>
  <c r="N114"/>
  <c r="I114"/>
  <c r="K114" s="1"/>
  <c r="H114"/>
  <c r="E114"/>
  <c r="R114" s="1"/>
  <c r="W113"/>
  <c r="W126" s="1"/>
  <c r="T113"/>
  <c r="T126" s="1"/>
  <c r="Q113"/>
  <c r="P113"/>
  <c r="P126" s="1"/>
  <c r="N113"/>
  <c r="M113"/>
  <c r="M126" s="1"/>
  <c r="I113"/>
  <c r="G113"/>
  <c r="G126" s="1"/>
  <c r="D113"/>
  <c r="D126" s="1"/>
  <c r="Z112"/>
  <c r="Y126"/>
  <c r="X112"/>
  <c r="U112"/>
  <c r="Q112"/>
  <c r="Q126" s="1"/>
  <c r="L112"/>
  <c r="L126" s="1"/>
  <c r="I112"/>
  <c r="I126" s="1"/>
  <c r="H112"/>
  <c r="E112"/>
  <c r="Y111"/>
  <c r="W111"/>
  <c r="V111"/>
  <c r="X111" s="1"/>
  <c r="T111"/>
  <c r="S111"/>
  <c r="U111" s="1"/>
  <c r="P111"/>
  <c r="O111"/>
  <c r="Q111" s="1"/>
  <c r="R111" s="1"/>
  <c r="M111"/>
  <c r="L111"/>
  <c r="N111" s="1"/>
  <c r="I111"/>
  <c r="G111"/>
  <c r="F111"/>
  <c r="H111" s="1"/>
  <c r="D111"/>
  <c r="C111"/>
  <c r="E111" s="1"/>
  <c r="AB110"/>
  <c r="Y106"/>
  <c r="V106"/>
  <c r="S106"/>
  <c r="I106"/>
  <c r="F106"/>
  <c r="C106"/>
  <c r="Y98"/>
  <c r="V98"/>
  <c r="S98"/>
  <c r="O98"/>
  <c r="L98"/>
  <c r="I98"/>
  <c r="F98"/>
  <c r="C98"/>
  <c r="Y94"/>
  <c r="V94"/>
  <c r="S94"/>
  <c r="O94"/>
  <c r="L94"/>
  <c r="I94"/>
  <c r="F94"/>
  <c r="C94"/>
  <c r="AA93"/>
  <c r="AA91"/>
  <c r="Y88"/>
  <c r="AA88" s="1"/>
  <c r="AB88" s="1"/>
  <c r="X88"/>
  <c r="U88"/>
  <c r="Q88"/>
  <c r="R88" s="1"/>
  <c r="N88"/>
  <c r="K88"/>
  <c r="H88"/>
  <c r="E88"/>
  <c r="AA87"/>
  <c r="AB87" s="1"/>
  <c r="X87"/>
  <c r="U87"/>
  <c r="Q87"/>
  <c r="R87" s="1"/>
  <c r="N87"/>
  <c r="K87"/>
  <c r="H87"/>
  <c r="E87"/>
  <c r="AA86"/>
  <c r="AB86" s="1"/>
  <c r="X86"/>
  <c r="U86"/>
  <c r="Q86"/>
  <c r="R86" s="1"/>
  <c r="N86"/>
  <c r="K86"/>
  <c r="H86"/>
  <c r="E86"/>
  <c r="AA84"/>
  <c r="Y84"/>
  <c r="X84"/>
  <c r="U84"/>
  <c r="Q84"/>
  <c r="N84"/>
  <c r="K84"/>
  <c r="H84"/>
  <c r="C84"/>
  <c r="E84" s="1"/>
  <c r="R84" s="1"/>
  <c r="AA83"/>
  <c r="AB83" s="1"/>
  <c r="X83"/>
  <c r="U83"/>
  <c r="Q83"/>
  <c r="R83" s="1"/>
  <c r="N83"/>
  <c r="K83"/>
  <c r="H83"/>
  <c r="E83"/>
  <c r="AA82"/>
  <c r="AB82" s="1"/>
  <c r="Y82"/>
  <c r="X82"/>
  <c r="U82"/>
  <c r="R82"/>
  <c r="Q82"/>
  <c r="N82"/>
  <c r="K82"/>
  <c r="H82"/>
  <c r="E82"/>
  <c r="AB81"/>
  <c r="AA81"/>
  <c r="X81"/>
  <c r="U81"/>
  <c r="R81"/>
  <c r="Q81"/>
  <c r="N81"/>
  <c r="K81"/>
  <c r="H81"/>
  <c r="E81"/>
  <c r="Z80"/>
  <c r="Y80"/>
  <c r="AA80" s="1"/>
  <c r="AB80" s="1"/>
  <c r="X80"/>
  <c r="T80"/>
  <c r="U80" s="1"/>
  <c r="Q80"/>
  <c r="R80" s="1"/>
  <c r="N80"/>
  <c r="J80"/>
  <c r="I80"/>
  <c r="K80" s="1"/>
  <c r="H80"/>
  <c r="E80"/>
  <c r="AA79"/>
  <c r="AB79" s="1"/>
  <c r="Y79"/>
  <c r="X79"/>
  <c r="U79"/>
  <c r="R79"/>
  <c r="Q79"/>
  <c r="N79"/>
  <c r="K79"/>
  <c r="H79"/>
  <c r="E79"/>
  <c r="Y78"/>
  <c r="AA78" s="1"/>
  <c r="AB78" s="1"/>
  <c r="X78"/>
  <c r="U78"/>
  <c r="Q78"/>
  <c r="R78" s="1"/>
  <c r="N78"/>
  <c r="K78"/>
  <c r="I78"/>
  <c r="H78"/>
  <c r="E78"/>
  <c r="Y76"/>
  <c r="AA76" s="1"/>
  <c r="AB76" s="1"/>
  <c r="X76"/>
  <c r="U76"/>
  <c r="Q76"/>
  <c r="R76" s="1"/>
  <c r="L76"/>
  <c r="N76" s="1"/>
  <c r="I76"/>
  <c r="K76" s="1"/>
  <c r="H76"/>
  <c r="E76"/>
  <c r="C76"/>
  <c r="Z75"/>
  <c r="Y75"/>
  <c r="AA75" s="1"/>
  <c r="W75"/>
  <c r="V75"/>
  <c r="X75" s="1"/>
  <c r="T75"/>
  <c r="S75"/>
  <c r="U75" s="1"/>
  <c r="P75"/>
  <c r="O75"/>
  <c r="Q75" s="1"/>
  <c r="M75"/>
  <c r="L75"/>
  <c r="N75" s="1"/>
  <c r="J75"/>
  <c r="I75"/>
  <c r="K75" s="1"/>
  <c r="G75"/>
  <c r="F75"/>
  <c r="H75" s="1"/>
  <c r="D75"/>
  <c r="C75"/>
  <c r="E75" s="1"/>
  <c r="AA74"/>
  <c r="AB74" s="1"/>
  <c r="X74"/>
  <c r="U74"/>
  <c r="R74"/>
  <c r="Q74"/>
  <c r="N74"/>
  <c r="K74"/>
  <c r="H74"/>
  <c r="E74"/>
  <c r="Y73"/>
  <c r="AA73" s="1"/>
  <c r="AB73" s="1"/>
  <c r="X73"/>
  <c r="U73"/>
  <c r="Q73"/>
  <c r="R73" s="1"/>
  <c r="N73"/>
  <c r="K73"/>
  <c r="I73"/>
  <c r="H73"/>
  <c r="E73"/>
  <c r="AA72"/>
  <c r="X72"/>
  <c r="S72"/>
  <c r="U72" s="1"/>
  <c r="Q72"/>
  <c r="R72" s="1"/>
  <c r="N72"/>
  <c r="K72"/>
  <c r="H72"/>
  <c r="E72"/>
  <c r="AB72" s="1"/>
  <c r="AA71"/>
  <c r="AB71" s="1"/>
  <c r="Y71"/>
  <c r="X71"/>
  <c r="U71"/>
  <c r="R71"/>
  <c r="Q71"/>
  <c r="N71"/>
  <c r="L71"/>
  <c r="K71"/>
  <c r="I71"/>
  <c r="H71"/>
  <c r="E71"/>
  <c r="Y69"/>
  <c r="AA69" s="1"/>
  <c r="AB69" s="1"/>
  <c r="X69"/>
  <c r="U69"/>
  <c r="S69"/>
  <c r="Q69"/>
  <c r="N69"/>
  <c r="L69"/>
  <c r="H69"/>
  <c r="F69"/>
  <c r="I69" s="1"/>
  <c r="E69"/>
  <c r="R69" s="1"/>
  <c r="C69"/>
  <c r="AA68"/>
  <c r="X68"/>
  <c r="U68"/>
  <c r="R68"/>
  <c r="Q68"/>
  <c r="N68"/>
  <c r="K68"/>
  <c r="H68"/>
  <c r="E68"/>
  <c r="AB68" s="1"/>
  <c r="AB67"/>
  <c r="AA67"/>
  <c r="X67"/>
  <c r="U67"/>
  <c r="R67"/>
  <c r="Q67"/>
  <c r="N67"/>
  <c r="K67"/>
  <c r="H67"/>
  <c r="E67"/>
  <c r="AB66"/>
  <c r="AA66"/>
  <c r="X66"/>
  <c r="U66"/>
  <c r="R66"/>
  <c r="Q66"/>
  <c r="N66"/>
  <c r="K66"/>
  <c r="H66"/>
  <c r="E66"/>
  <c r="AB65"/>
  <c r="AA65"/>
  <c r="X65"/>
  <c r="U65"/>
  <c r="R65"/>
  <c r="Q65"/>
  <c r="N65"/>
  <c r="K65"/>
  <c r="H65"/>
  <c r="E65"/>
  <c r="AB64"/>
  <c r="AA64"/>
  <c r="X64"/>
  <c r="U64"/>
  <c r="R64"/>
  <c r="Q64"/>
  <c r="N64"/>
  <c r="K64"/>
  <c r="H64"/>
  <c r="E64"/>
  <c r="AB63"/>
  <c r="AA63"/>
  <c r="X63"/>
  <c r="U63"/>
  <c r="R63"/>
  <c r="Q63"/>
  <c r="N63"/>
  <c r="K63"/>
  <c r="H63"/>
  <c r="E63"/>
  <c r="AB62"/>
  <c r="AA62"/>
  <c r="X62"/>
  <c r="U62"/>
  <c r="R62"/>
  <c r="Q62"/>
  <c r="N62"/>
  <c r="K62"/>
  <c r="H62"/>
  <c r="E62"/>
  <c r="AB60"/>
  <c r="AA60"/>
  <c r="X60"/>
  <c r="U60"/>
  <c r="R60"/>
  <c r="Q60"/>
  <c r="N60"/>
  <c r="K60"/>
  <c r="H60"/>
  <c r="E60"/>
  <c r="Z59"/>
  <c r="Y59"/>
  <c r="AA59" s="1"/>
  <c r="W59"/>
  <c r="V59"/>
  <c r="X59" s="1"/>
  <c r="T59"/>
  <c r="S59"/>
  <c r="U59" s="1"/>
  <c r="P59"/>
  <c r="O59"/>
  <c r="Q59" s="1"/>
  <c r="M59"/>
  <c r="L59"/>
  <c r="N59" s="1"/>
  <c r="J59"/>
  <c r="I59"/>
  <c r="K59" s="1"/>
  <c r="G59"/>
  <c r="F59"/>
  <c r="H59" s="1"/>
  <c r="D59"/>
  <c r="C59"/>
  <c r="E59" s="1"/>
  <c r="AB58"/>
  <c r="AA58"/>
  <c r="X58"/>
  <c r="U58"/>
  <c r="R58"/>
  <c r="Q58"/>
  <c r="N58"/>
  <c r="K58"/>
  <c r="H58"/>
  <c r="E58"/>
  <c r="Y57"/>
  <c r="AA57" s="1"/>
  <c r="AB57" s="1"/>
  <c r="X57"/>
  <c r="U57"/>
  <c r="Q57"/>
  <c r="R57" s="1"/>
  <c r="N57"/>
  <c r="K57"/>
  <c r="I57"/>
  <c r="H57"/>
  <c r="E57"/>
  <c r="Y56"/>
  <c r="AA56" s="1"/>
  <c r="AB56" s="1"/>
  <c r="X56"/>
  <c r="U56"/>
  <c r="Q56"/>
  <c r="R56" s="1"/>
  <c r="N56"/>
  <c r="K56"/>
  <c r="H56"/>
  <c r="E56"/>
  <c r="AA55"/>
  <c r="AB55" s="1"/>
  <c r="Y55"/>
  <c r="X55"/>
  <c r="U55"/>
  <c r="Q55"/>
  <c r="N55"/>
  <c r="I55"/>
  <c r="K55" s="1"/>
  <c r="H55"/>
  <c r="E55"/>
  <c r="R55" s="1"/>
  <c r="X54"/>
  <c r="U54"/>
  <c r="P54"/>
  <c r="Z54" s="1"/>
  <c r="Z49" s="1"/>
  <c r="Z48" s="1"/>
  <c r="Z89" s="1"/>
  <c r="O54"/>
  <c r="AA54" s="1"/>
  <c r="N54"/>
  <c r="J54"/>
  <c r="I54"/>
  <c r="K54" s="1"/>
  <c r="H54"/>
  <c r="D54"/>
  <c r="C54"/>
  <c r="E54" s="1"/>
  <c r="Z53"/>
  <c r="Y53"/>
  <c r="AA53" s="1"/>
  <c r="AB53" s="1"/>
  <c r="X53"/>
  <c r="U53"/>
  <c r="Q53"/>
  <c r="R53" s="1"/>
  <c r="N53"/>
  <c r="K53"/>
  <c r="H53"/>
  <c r="E53"/>
  <c r="Z52"/>
  <c r="Y52"/>
  <c r="AA52" s="1"/>
  <c r="AB52" s="1"/>
  <c r="X52"/>
  <c r="U52"/>
  <c r="Q52"/>
  <c r="R52" s="1"/>
  <c r="N52"/>
  <c r="J52"/>
  <c r="I52"/>
  <c r="K52" s="1"/>
  <c r="H52"/>
  <c r="E52"/>
  <c r="Z50"/>
  <c r="Y50"/>
  <c r="X50"/>
  <c r="U50"/>
  <c r="T50"/>
  <c r="Q50"/>
  <c r="N50"/>
  <c r="L50"/>
  <c r="J50"/>
  <c r="I50"/>
  <c r="K50" s="1"/>
  <c r="H50"/>
  <c r="E50"/>
  <c r="R50" s="1"/>
  <c r="C50"/>
  <c r="W49"/>
  <c r="V49"/>
  <c r="X49" s="1"/>
  <c r="T49"/>
  <c r="S49"/>
  <c r="U49" s="1"/>
  <c r="P49"/>
  <c r="O49"/>
  <c r="Q49" s="1"/>
  <c r="R49" s="1"/>
  <c r="M49"/>
  <c r="L49"/>
  <c r="N49" s="1"/>
  <c r="J49"/>
  <c r="G49"/>
  <c r="F49"/>
  <c r="H49" s="1"/>
  <c r="D49"/>
  <c r="C49"/>
  <c r="E49" s="1"/>
  <c r="W48"/>
  <c r="W89" s="1"/>
  <c r="W127" s="1"/>
  <c r="V48"/>
  <c r="V89" s="1"/>
  <c r="T48"/>
  <c r="T89" s="1"/>
  <c r="T127" s="1"/>
  <c r="S48"/>
  <c r="U48" s="1"/>
  <c r="P48"/>
  <c r="P89" s="1"/>
  <c r="P127" s="1"/>
  <c r="O48"/>
  <c r="Q48" s="1"/>
  <c r="M48"/>
  <c r="M89" s="1"/>
  <c r="M127" s="1"/>
  <c r="L48"/>
  <c r="L89" s="1"/>
  <c r="J48"/>
  <c r="J89" s="1"/>
  <c r="G48"/>
  <c r="G89" s="1"/>
  <c r="G127" s="1"/>
  <c r="F48"/>
  <c r="F89" s="1"/>
  <c r="D48"/>
  <c r="D89" s="1"/>
  <c r="D127" s="1"/>
  <c r="C48"/>
  <c r="E48" s="1"/>
  <c r="AB46"/>
  <c r="AA46"/>
  <c r="X46"/>
  <c r="U46"/>
  <c r="R46"/>
  <c r="Q46"/>
  <c r="N46"/>
  <c r="K46"/>
  <c r="H46"/>
  <c r="E46"/>
  <c r="AB45"/>
  <c r="AA45"/>
  <c r="X45"/>
  <c r="U45"/>
  <c r="R45"/>
  <c r="Q45"/>
  <c r="N45"/>
  <c r="K45"/>
  <c r="H45"/>
  <c r="E45"/>
  <c r="AB44"/>
  <c r="AA44"/>
  <c r="X44"/>
  <c r="U44"/>
  <c r="R44"/>
  <c r="Q44"/>
  <c r="N44"/>
  <c r="K44"/>
  <c r="H44"/>
  <c r="E44"/>
  <c r="AB43"/>
  <c r="AA43"/>
  <c r="X43"/>
  <c r="U43"/>
  <c r="R43"/>
  <c r="Q43"/>
  <c r="N43"/>
  <c r="K43"/>
  <c r="H43"/>
  <c r="E43"/>
  <c r="X42"/>
  <c r="W42"/>
  <c r="U42"/>
  <c r="T42"/>
  <c r="P42"/>
  <c r="Q42" s="1"/>
  <c r="N42"/>
  <c r="I42"/>
  <c r="J42" s="1"/>
  <c r="G42"/>
  <c r="H42" s="1"/>
  <c r="D42"/>
  <c r="E42" s="1"/>
  <c r="AA41"/>
  <c r="AB41" s="1"/>
  <c r="X41"/>
  <c r="U41"/>
  <c r="Q41"/>
  <c r="R41" s="1"/>
  <c r="N41"/>
  <c r="K41"/>
  <c r="H41"/>
  <c r="E41"/>
  <c r="Y40"/>
  <c r="X40"/>
  <c r="U40"/>
  <c r="T40"/>
  <c r="P40"/>
  <c r="Z40" s="1"/>
  <c r="N40"/>
  <c r="I40"/>
  <c r="J40" s="1"/>
  <c r="G40"/>
  <c r="H40" s="1"/>
  <c r="D40"/>
  <c r="E40" s="1"/>
  <c r="AA39"/>
  <c r="AB39" s="1"/>
  <c r="X39"/>
  <c r="U39"/>
  <c r="Q39"/>
  <c r="R39" s="1"/>
  <c r="N39"/>
  <c r="K39"/>
  <c r="H39"/>
  <c r="E39"/>
  <c r="AA38"/>
  <c r="AB38" s="1"/>
  <c r="Y38"/>
  <c r="X38"/>
  <c r="U38"/>
  <c r="R38"/>
  <c r="Q38"/>
  <c r="N38"/>
  <c r="K38"/>
  <c r="H38"/>
  <c r="E38"/>
  <c r="Y37"/>
  <c r="AA37" s="1"/>
  <c r="AB37" s="1"/>
  <c r="X37"/>
  <c r="U37"/>
  <c r="Q37"/>
  <c r="R37" s="1"/>
  <c r="N37"/>
  <c r="K37"/>
  <c r="I37"/>
  <c r="H37"/>
  <c r="E37"/>
  <c r="Y36"/>
  <c r="AA36" s="1"/>
  <c r="X36"/>
  <c r="U36"/>
  <c r="S36"/>
  <c r="O36"/>
  <c r="Q36" s="1"/>
  <c r="L36"/>
  <c r="N36" s="1"/>
  <c r="I36"/>
  <c r="K36" s="1"/>
  <c r="F36"/>
  <c r="H36" s="1"/>
  <c r="C36"/>
  <c r="E36" s="1"/>
  <c r="Y35"/>
  <c r="W35"/>
  <c r="V35"/>
  <c r="X35" s="1"/>
  <c r="T35"/>
  <c r="S35"/>
  <c r="U35" s="1"/>
  <c r="P35"/>
  <c r="O35"/>
  <c r="Q35" s="1"/>
  <c r="R35" s="1"/>
  <c r="M35"/>
  <c r="L35"/>
  <c r="N35" s="1"/>
  <c r="I35"/>
  <c r="G35"/>
  <c r="F35"/>
  <c r="H35" s="1"/>
  <c r="D35"/>
  <c r="C35"/>
  <c r="E35" s="1"/>
  <c r="Y34"/>
  <c r="W34"/>
  <c r="V34"/>
  <c r="X34" s="1"/>
  <c r="T34"/>
  <c r="S34"/>
  <c r="U34" s="1"/>
  <c r="P34"/>
  <c r="O34"/>
  <c r="Q34" s="1"/>
  <c r="R34" s="1"/>
  <c r="M34"/>
  <c r="L34"/>
  <c r="N34" s="1"/>
  <c r="I34"/>
  <c r="G34"/>
  <c r="F34"/>
  <c r="H34" s="1"/>
  <c r="D34"/>
  <c r="C34"/>
  <c r="E34" s="1"/>
  <c r="AA33"/>
  <c r="AB33" s="1"/>
  <c r="Y33"/>
  <c r="X33"/>
  <c r="U33"/>
  <c r="Q33"/>
  <c r="N33"/>
  <c r="I33"/>
  <c r="K33" s="1"/>
  <c r="H33"/>
  <c r="E33"/>
  <c r="R33" s="1"/>
  <c r="AA32"/>
  <c r="AB32" s="1"/>
  <c r="X32"/>
  <c r="U32"/>
  <c r="Q32"/>
  <c r="N32"/>
  <c r="I32"/>
  <c r="K32" s="1"/>
  <c r="H32"/>
  <c r="E32"/>
  <c r="R32" s="1"/>
  <c r="AA31"/>
  <c r="AB31" s="1"/>
  <c r="X31"/>
  <c r="U31"/>
  <c r="Q31"/>
  <c r="N31"/>
  <c r="I31"/>
  <c r="K31" s="1"/>
  <c r="H31"/>
  <c r="E31"/>
  <c r="R31" s="1"/>
  <c r="AA30"/>
  <c r="AB30" s="1"/>
  <c r="X30"/>
  <c r="U30"/>
  <c r="R30"/>
  <c r="Q30"/>
  <c r="N30"/>
  <c r="K30"/>
  <c r="H30"/>
  <c r="E30"/>
  <c r="AB29"/>
  <c r="AA29"/>
  <c r="X29"/>
  <c r="U29"/>
  <c r="R29"/>
  <c r="Q29"/>
  <c r="N29"/>
  <c r="K29"/>
  <c r="H29"/>
  <c r="E29"/>
  <c r="AB28"/>
  <c r="AA28"/>
  <c r="X28"/>
  <c r="U28"/>
  <c r="R28"/>
  <c r="Q28"/>
  <c r="N28"/>
  <c r="K28"/>
  <c r="H28"/>
  <c r="E28"/>
  <c r="AA27"/>
  <c r="X27"/>
  <c r="U27"/>
  <c r="Q27"/>
  <c r="N27"/>
  <c r="K27"/>
  <c r="H27"/>
  <c r="E27"/>
  <c r="AA26"/>
  <c r="X26"/>
  <c r="U26"/>
  <c r="Q26"/>
  <c r="N26"/>
  <c r="K26"/>
  <c r="I26"/>
  <c r="H26"/>
  <c r="E26"/>
  <c r="AB25"/>
  <c r="AA25"/>
  <c r="X25"/>
  <c r="U25"/>
  <c r="R25"/>
  <c r="Q25"/>
  <c r="N25"/>
  <c r="K25"/>
  <c r="H25"/>
  <c r="E25"/>
  <c r="AA24"/>
  <c r="X24"/>
  <c r="U24"/>
  <c r="Q24"/>
  <c r="N24"/>
  <c r="K24"/>
  <c r="I24"/>
  <c r="H24"/>
  <c r="E24"/>
  <c r="AB23"/>
  <c r="AA23"/>
  <c r="X23"/>
  <c r="U23"/>
  <c r="R23"/>
  <c r="Q23"/>
  <c r="N23"/>
  <c r="K23"/>
  <c r="H23"/>
  <c r="E23"/>
  <c r="AB22"/>
  <c r="AA22"/>
  <c r="X22"/>
  <c r="U22"/>
  <c r="R22"/>
  <c r="Q22"/>
  <c r="N22"/>
  <c r="K22"/>
  <c r="H22"/>
  <c r="E22"/>
  <c r="Z20"/>
  <c r="Y20"/>
  <c r="AA20" s="1"/>
  <c r="W20"/>
  <c r="V20"/>
  <c r="X20" s="1"/>
  <c r="T20"/>
  <c r="S20"/>
  <c r="U20" s="1"/>
  <c r="P20"/>
  <c r="O20"/>
  <c r="Q20" s="1"/>
  <c r="M20"/>
  <c r="L20"/>
  <c r="N20" s="1"/>
  <c r="J20"/>
  <c r="I20"/>
  <c r="K20" s="1"/>
  <c r="G20"/>
  <c r="F20"/>
  <c r="H20" s="1"/>
  <c r="D20"/>
  <c r="C20"/>
  <c r="E20" s="1"/>
  <c r="Y19"/>
  <c r="AA19" s="1"/>
  <c r="AB19" s="1"/>
  <c r="X19"/>
  <c r="U19"/>
  <c r="Q19"/>
  <c r="R19" s="1"/>
  <c r="N19"/>
  <c r="K19"/>
  <c r="I19"/>
  <c r="H19"/>
  <c r="E19"/>
  <c r="AA18"/>
  <c r="AB18" s="1"/>
  <c r="X18"/>
  <c r="U18"/>
  <c r="Q18"/>
  <c r="R18" s="1"/>
  <c r="N18"/>
  <c r="K18"/>
  <c r="I18"/>
  <c r="H18"/>
  <c r="E18"/>
  <c r="AA17"/>
  <c r="AB17" s="1"/>
  <c r="X17"/>
  <c r="U17"/>
  <c r="Q17"/>
  <c r="R17" s="1"/>
  <c r="N17"/>
  <c r="K17"/>
  <c r="I17"/>
  <c r="H17"/>
  <c r="E17"/>
  <c r="AA16"/>
  <c r="X16"/>
  <c r="U16"/>
  <c r="R16"/>
  <c r="Q16"/>
  <c r="N16"/>
  <c r="K16"/>
  <c r="H16"/>
  <c r="E16"/>
  <c r="AB16" s="1"/>
  <c r="AA15"/>
  <c r="X15"/>
  <c r="U15"/>
  <c r="R15"/>
  <c r="Q15"/>
  <c r="N15"/>
  <c r="K15"/>
  <c r="H15"/>
  <c r="E15"/>
  <c r="AB15" s="1"/>
  <c r="AB14"/>
  <c r="AA14"/>
  <c r="X14"/>
  <c r="U14"/>
  <c r="R14"/>
  <c r="Q14"/>
  <c r="N14"/>
  <c r="K14"/>
  <c r="H14"/>
  <c r="E14"/>
  <c r="AA13"/>
  <c r="AB13" s="1"/>
  <c r="X13"/>
  <c r="U13"/>
  <c r="Q13"/>
  <c r="R13" s="1"/>
  <c r="N13"/>
  <c r="K13"/>
  <c r="I13"/>
  <c r="H13"/>
  <c r="E13"/>
  <c r="Z12"/>
  <c r="Y12"/>
  <c r="AA12" s="1"/>
  <c r="AB12" s="1"/>
  <c r="W12"/>
  <c r="X12" s="1"/>
  <c r="T12"/>
  <c r="S12"/>
  <c r="U12" s="1"/>
  <c r="P12"/>
  <c r="O12"/>
  <c r="Q12" s="1"/>
  <c r="M12"/>
  <c r="L12"/>
  <c r="N12" s="1"/>
  <c r="J12"/>
  <c r="I12"/>
  <c r="K12" s="1"/>
  <c r="G12"/>
  <c r="F12"/>
  <c r="H12" s="1"/>
  <c r="D12"/>
  <c r="C12"/>
  <c r="E12" s="1"/>
  <c r="Y11"/>
  <c r="AA11" s="1"/>
  <c r="X11"/>
  <c r="U11"/>
  <c r="Q11"/>
  <c r="N11"/>
  <c r="I11"/>
  <c r="K11" s="1"/>
  <c r="H11"/>
  <c r="E11"/>
  <c r="Y10"/>
  <c r="AA10" s="1"/>
  <c r="AB10" s="1"/>
  <c r="X10"/>
  <c r="U10"/>
  <c r="Q10"/>
  <c r="R10" s="1"/>
  <c r="N10"/>
  <c r="K10"/>
  <c r="I10"/>
  <c r="H10"/>
  <c r="E10"/>
  <c r="V8"/>
  <c r="X8" s="1"/>
  <c r="S8"/>
  <c r="U8" s="1"/>
  <c r="Q8"/>
  <c r="R8" s="1"/>
  <c r="O8"/>
  <c r="N8"/>
  <c r="L8"/>
  <c r="K8"/>
  <c r="I8"/>
  <c r="F8"/>
  <c r="H8" s="1"/>
  <c r="C8"/>
  <c r="E8" s="1"/>
  <c r="Z7"/>
  <c r="W7"/>
  <c r="V7"/>
  <c r="X7" s="1"/>
  <c r="T7"/>
  <c r="S7"/>
  <c r="U7" s="1"/>
  <c r="P7"/>
  <c r="O7"/>
  <c r="Q7" s="1"/>
  <c r="M7"/>
  <c r="L7"/>
  <c r="N7" s="1"/>
  <c r="J7"/>
  <c r="I7"/>
  <c r="K7" s="1"/>
  <c r="G7"/>
  <c r="F7"/>
  <c r="H7" s="1"/>
  <c r="D7"/>
  <c r="C7"/>
  <c r="E7" s="1"/>
  <c r="W6"/>
  <c r="W47" s="1"/>
  <c r="W90" s="1"/>
  <c r="V6"/>
  <c r="X6" s="1"/>
  <c r="X47" s="1"/>
  <c r="T6"/>
  <c r="T47" s="1"/>
  <c r="T90" s="1"/>
  <c r="S6"/>
  <c r="S47" s="1"/>
  <c r="S90" s="1"/>
  <c r="P6"/>
  <c r="P47" s="1"/>
  <c r="P90" s="1"/>
  <c r="O6"/>
  <c r="O47" s="1"/>
  <c r="O90" s="1"/>
  <c r="M6"/>
  <c r="M47" s="1"/>
  <c r="M90" s="1"/>
  <c r="L6"/>
  <c r="N6" s="1"/>
  <c r="N47" s="1"/>
  <c r="I6"/>
  <c r="I47" s="1"/>
  <c r="G6"/>
  <c r="G47" s="1"/>
  <c r="G90" s="1"/>
  <c r="F6"/>
  <c r="H6" s="1"/>
  <c r="H47" s="1"/>
  <c r="D6"/>
  <c r="D47" s="1"/>
  <c r="D90" s="1"/>
  <c r="C6"/>
  <c r="C47" s="1"/>
  <c r="C90" s="1"/>
  <c r="Y8" l="1"/>
  <c r="N89"/>
  <c r="L127"/>
  <c r="L93"/>
  <c r="L91" s="1"/>
  <c r="V127"/>
  <c r="X89"/>
  <c r="I49"/>
  <c r="K69"/>
  <c r="R7"/>
  <c r="R12"/>
  <c r="K35"/>
  <c r="R36"/>
  <c r="AB36"/>
  <c r="J35"/>
  <c r="J34" s="1"/>
  <c r="J6" s="1"/>
  <c r="J47" s="1"/>
  <c r="J90" s="1"/>
  <c r="Z35"/>
  <c r="Z34" s="1"/>
  <c r="Z6" s="1"/>
  <c r="Z47" s="1"/>
  <c r="Z90" s="1"/>
  <c r="AA40"/>
  <c r="AB40" s="1"/>
  <c r="AA42"/>
  <c r="AB42" s="1"/>
  <c r="R48"/>
  <c r="Y49"/>
  <c r="R75"/>
  <c r="AB75"/>
  <c r="AB84"/>
  <c r="AA113"/>
  <c r="H89"/>
  <c r="F127"/>
  <c r="R20"/>
  <c r="AB20"/>
  <c r="AA34"/>
  <c r="AB34" s="1"/>
  <c r="R42"/>
  <c r="AB54"/>
  <c r="R59"/>
  <c r="AB59"/>
  <c r="H126"/>
  <c r="E6"/>
  <c r="E47" s="1"/>
  <c r="E90" s="1"/>
  <c r="K6"/>
  <c r="K47" s="1"/>
  <c r="Q6"/>
  <c r="U6"/>
  <c r="U47" s="1"/>
  <c r="U90" s="1"/>
  <c r="K40"/>
  <c r="K42"/>
  <c r="Z42"/>
  <c r="F47"/>
  <c r="F90" s="1"/>
  <c r="L47"/>
  <c r="L90" s="1"/>
  <c r="V47"/>
  <c r="V90" s="1"/>
  <c r="H48"/>
  <c r="H90" s="1"/>
  <c r="N48"/>
  <c r="N90" s="1"/>
  <c r="X48"/>
  <c r="X90" s="1"/>
  <c r="AA50"/>
  <c r="AB50" s="1"/>
  <c r="Q54"/>
  <c r="R54" s="1"/>
  <c r="C89"/>
  <c r="O89"/>
  <c r="S89"/>
  <c r="K112"/>
  <c r="N112"/>
  <c r="N126" s="1"/>
  <c r="R112"/>
  <c r="E113"/>
  <c r="R113" s="1"/>
  <c r="H113"/>
  <c r="J113"/>
  <c r="U113"/>
  <c r="U126" s="1"/>
  <c r="X113"/>
  <c r="X126" s="1"/>
  <c r="Z113"/>
  <c r="Z111" s="1"/>
  <c r="AA111" s="1"/>
  <c r="AB111" s="1"/>
  <c r="Q40"/>
  <c r="R40" s="1"/>
  <c r="AA112"/>
  <c r="AA8" l="1"/>
  <c r="AB8" s="1"/>
  <c r="Y7"/>
  <c r="J126"/>
  <c r="J111"/>
  <c r="K111" s="1"/>
  <c r="C127"/>
  <c r="C93"/>
  <c r="C91" s="1"/>
  <c r="C109" s="1"/>
  <c r="E89"/>
  <c r="E127" s="1"/>
  <c r="AA126"/>
  <c r="AB112"/>
  <c r="O127"/>
  <c r="O93"/>
  <c r="O91" s="1"/>
  <c r="O109" s="1"/>
  <c r="Q89"/>
  <c r="K49"/>
  <c r="I48"/>
  <c r="F93"/>
  <c r="F91" s="1"/>
  <c r="H127"/>
  <c r="E126"/>
  <c r="R126" s="1"/>
  <c r="V109"/>
  <c r="V93"/>
  <c r="V91" s="1"/>
  <c r="N127"/>
  <c r="AA35"/>
  <c r="AB35" s="1"/>
  <c r="F109"/>
  <c r="Z126"/>
  <c r="Z127" s="1"/>
  <c r="K34"/>
  <c r="X127"/>
  <c r="L109"/>
  <c r="S127"/>
  <c r="S93"/>
  <c r="S91" s="1"/>
  <c r="S109" s="1"/>
  <c r="U89"/>
  <c r="U127" s="1"/>
  <c r="Q47"/>
  <c r="R6"/>
  <c r="AA49"/>
  <c r="AB49" s="1"/>
  <c r="Y48"/>
  <c r="K113"/>
  <c r="K126" s="1"/>
  <c r="AB113"/>
  <c r="AA7" l="1"/>
  <c r="AB7" s="1"/>
  <c r="Y6"/>
  <c r="AA48"/>
  <c r="AB48" s="1"/>
  <c r="Y89"/>
  <c r="K48"/>
  <c r="K90" s="1"/>
  <c r="I89"/>
  <c r="I90"/>
  <c r="Q127"/>
  <c r="R89"/>
  <c r="Q90"/>
  <c r="R47"/>
  <c r="AB126"/>
  <c r="Y47" l="1"/>
  <c r="Y90" s="1"/>
  <c r="AA6"/>
  <c r="Y127"/>
  <c r="Y93"/>
  <c r="Y91" s="1"/>
  <c r="Y109" s="1"/>
  <c r="AA89"/>
  <c r="I127"/>
  <c r="I93"/>
  <c r="I91" s="1"/>
  <c r="I109" s="1"/>
  <c r="K89"/>
  <c r="AB6" l="1"/>
  <c r="AA47"/>
  <c r="AB89"/>
  <c r="AA127"/>
  <c r="AA90" l="1"/>
  <c r="AB47"/>
</calcChain>
</file>

<file path=xl/sharedStrings.xml><?xml version="1.0" encoding="utf-8"?>
<sst xmlns="http://schemas.openxmlformats.org/spreadsheetml/2006/main" count="757" uniqueCount="203">
  <si>
    <t>тыс.руб.</t>
  </si>
  <si>
    <t>№ п/п</t>
  </si>
  <si>
    <t>ПОКАЗАТЕЛИ</t>
  </si>
  <si>
    <t>2015год (отчетный год)</t>
  </si>
  <si>
    <t>2016 год</t>
  </si>
  <si>
    <t>Исполнение за отчетный финансовый год</t>
  </si>
  <si>
    <t>Исполнено на отчетную дату (n)</t>
  </si>
  <si>
    <t>Исполнено за __________ (месяц n+1)</t>
  </si>
  <si>
    <t>Первоначальный план</t>
  </si>
  <si>
    <t>Уточненный план</t>
  </si>
  <si>
    <t>Темп роста к  исполнению 2015 г. без ЦС</t>
  </si>
  <si>
    <t>Ожидаемое исполнение за _________(n+1)</t>
  </si>
  <si>
    <t>Ожидаемая оценка исполнения за 2016 год</t>
  </si>
  <si>
    <t>Темп роста к исполнению  2015 г. без ЦС</t>
  </si>
  <si>
    <t>Местный бюджет (всего)</t>
  </si>
  <si>
    <t>в том числе:</t>
  </si>
  <si>
    <t>в том числе</t>
  </si>
  <si>
    <t>за счет целевых средств из бюджетов других уровней</t>
  </si>
  <si>
    <t>без  целевых средств</t>
  </si>
  <si>
    <t>без целевых средств</t>
  </si>
  <si>
    <t>I.</t>
  </si>
  <si>
    <t>Доходы</t>
  </si>
  <si>
    <t>1.1</t>
  </si>
  <si>
    <t>Собственные доходы</t>
  </si>
  <si>
    <t>1.1.1.</t>
  </si>
  <si>
    <t>Налоговые доходы</t>
  </si>
  <si>
    <t>из них:</t>
  </si>
  <si>
    <t>а)</t>
  </si>
  <si>
    <t>Налог на доходы физических лиц</t>
  </si>
  <si>
    <t>б)</t>
  </si>
  <si>
    <t>Акцизы по подакцизным товарам (продукции)</t>
  </si>
  <si>
    <t>в)</t>
  </si>
  <si>
    <t>Налоги на совокупный доход</t>
  </si>
  <si>
    <t>-налог, взимаемый в связи с применением упрощенной системы налогообложения</t>
  </si>
  <si>
    <t>-единый налог на вмененный доход для отдельных видов деятельности</t>
  </si>
  <si>
    <t>-единый сельскохозяйственный налог</t>
  </si>
  <si>
    <t>-патентная система налогообложения</t>
  </si>
  <si>
    <t>г)</t>
  </si>
  <si>
    <t>Налог на имущество физических лиц</t>
  </si>
  <si>
    <t>д)</t>
  </si>
  <si>
    <t>Земельный налог</t>
  </si>
  <si>
    <t>е)</t>
  </si>
  <si>
    <t>Прочие налоги</t>
  </si>
  <si>
    <t>1.1.2.</t>
  </si>
  <si>
    <t>Неналоговые доходы</t>
  </si>
  <si>
    <t>Доходы в виде прибыли, приходящейся на доли в уставных капиталах, или дивидендов по акциям</t>
  </si>
  <si>
    <t>Проценты, полученные от предоставления бюджетных кредитов</t>
  </si>
  <si>
    <t>Доходы, полученные в виде арендной платы за земельные участки</t>
  </si>
  <si>
    <t>Доходы от сдачи имущества в аренду</t>
  </si>
  <si>
    <t>Доходы от сдачи в аренду имущества, составляющего казну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</si>
  <si>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</t>
  </si>
  <si>
    <t>ж)</t>
  </si>
  <si>
    <t>Платежи от муниципальных унитарных предприятий</t>
  </si>
  <si>
    <t>з)</t>
  </si>
  <si>
    <t>Плата за негативное воздействие на окружающую среду</t>
  </si>
  <si>
    <t>и)</t>
  </si>
  <si>
    <t>Доходы от оказания платных услуг (работ) и компенсации затрат государства</t>
  </si>
  <si>
    <t>к)</t>
  </si>
  <si>
    <t>Доходы от продажи материальных и нематериальных активов</t>
  </si>
  <si>
    <t>л)</t>
  </si>
  <si>
    <t xml:space="preserve">Штрафы </t>
  </si>
  <si>
    <t>м)</t>
  </si>
  <si>
    <t>Прочие неналоговые доходы</t>
  </si>
  <si>
    <t>1.2</t>
  </si>
  <si>
    <t>Безвозмездные поступления всего</t>
  </si>
  <si>
    <t>1.2.1</t>
  </si>
  <si>
    <t>Безвозмездные поступления от бюджетов других уровней</t>
  </si>
  <si>
    <t xml:space="preserve">Дотации, в т.ч. </t>
  </si>
  <si>
    <t>на выравнивание бюджетной обеспеченности</t>
  </si>
  <si>
    <t>на сбалансированность бюджета</t>
  </si>
  <si>
    <t>прочие дотации</t>
  </si>
  <si>
    <t>Субсидии, в т.ч.</t>
  </si>
  <si>
    <t>капитального характера</t>
  </si>
  <si>
    <t>Субвенции</t>
  </si>
  <si>
    <t>Иные межбюджетные трансферты</t>
  </si>
  <si>
    <t>1.2.2</t>
  </si>
  <si>
    <t>Прочие безвозмездные перечисления</t>
  </si>
  <si>
    <t>1.2.3</t>
  </si>
  <si>
    <t xml:space="preserve">Доходы бюджетов от возврата бюджетами и организациями остатков субсидий, субвенций и иных межбюджетных трансфертов, имеющих целевое назначение, прошлых лет </t>
  </si>
  <si>
    <t>1.2.4</t>
  </si>
  <si>
    <t>Возврат остатков субвенций, субсидий и иных межбюджетных трансфертов, имеющих целевое назначение, прошлых лет</t>
  </si>
  <si>
    <t>ИТОГО ДОХОДОВ</t>
  </si>
  <si>
    <t>II.</t>
  </si>
  <si>
    <t xml:space="preserve">Расходы  </t>
  </si>
  <si>
    <t>Органы местного самоуправления</t>
  </si>
  <si>
    <t>Расходы на выплаты персоналу в целях обеспечения выполнения функций муниципальными органами (КВР 100)-всего</t>
  </si>
  <si>
    <t>Фонд оплаты труда муниципальных органов (КВР 121)</t>
  </si>
  <si>
    <t xml:space="preserve">Взносы по обязательному социальному страхованию (КВР 129)      </t>
  </si>
  <si>
    <t xml:space="preserve">Закупка товаров, работ и услуг для обеспечения муниципальных нужд   (КВР 200) </t>
  </si>
  <si>
    <t>1.3</t>
  </si>
  <si>
    <t xml:space="preserve">Расходы на социальное обеспечение и иные выплаты населению (КВР 300) </t>
  </si>
  <si>
    <t>1.4</t>
  </si>
  <si>
    <t xml:space="preserve">Расходы на капитальные вложения в объекты муниципальной собственности (КВР 400) </t>
  </si>
  <si>
    <t>1.5</t>
  </si>
  <si>
    <t>Межбюджетные трансферты (КВР 500)</t>
  </si>
  <si>
    <t>1.6</t>
  </si>
  <si>
    <t xml:space="preserve">Предоставление субсидий бюджетным, автономным учреждениям и иным некоммерческим организациям (КВР 600) </t>
  </si>
  <si>
    <t xml:space="preserve">Расходы на содержание учреждений, осуществляемые за счет предоставленных субсидий бюджетным и автономным учреждениям                                                 </t>
  </si>
  <si>
    <t>1.6.1</t>
  </si>
  <si>
    <t xml:space="preserve">Выплаты персоналу, всего:       </t>
  </si>
  <si>
    <t>оплата труда и начисления на выплаты по оплате труда</t>
  </si>
  <si>
    <t>1.6.2</t>
  </si>
  <si>
    <t>Социальные и иные выплаты населению</t>
  </si>
  <si>
    <t>1.6.3</t>
  </si>
  <si>
    <t>Уплата налогов, сборов и иных платежей</t>
  </si>
  <si>
    <t>1.6.4</t>
  </si>
  <si>
    <t>Безвозмездные перечисления организациям</t>
  </si>
  <si>
    <t>1.6.5</t>
  </si>
  <si>
    <t>Прочие расходы (кроме расходов на закупку товаров, работ, услуг)</t>
  </si>
  <si>
    <t>Расходы на закупку товаров, работ, услуг</t>
  </si>
  <si>
    <t>1.7</t>
  </si>
  <si>
    <t xml:space="preserve">Расходы на обслуживание муниципального долга (КВР 730) </t>
  </si>
  <si>
    <t>1.8</t>
  </si>
  <si>
    <r>
      <t>Расходы на иные бюджетные ассигнования (КВР 800)</t>
    </r>
    <r>
      <rPr>
        <b/>
        <sz val="10"/>
        <rFont val="Times New Roman"/>
        <family val="1"/>
        <charset val="204"/>
      </rPr>
      <t xml:space="preserve"> </t>
    </r>
  </si>
  <si>
    <t>Расходы на предоставление субсидий юридическим лицам (кроме некоммерческих организаций), индивидуальным предпринимателям, физическим лицам - производителям товаров, работ, услуг          (КВР 810)</t>
  </si>
  <si>
    <t xml:space="preserve">Расходы на исполнение судебных актов              (КВР 830) </t>
  </si>
  <si>
    <t xml:space="preserve">Расходы на уплату налогов, сборов и иных платежей (КВР 850) </t>
  </si>
  <si>
    <t xml:space="preserve">Резервные средства (КВР 870)   </t>
  </si>
  <si>
    <t>2</t>
  </si>
  <si>
    <t>Казенные учреждения</t>
  </si>
  <si>
    <t>2.1</t>
  </si>
  <si>
    <t>Расходы на выплаты персоналу в целях обеспечения выполнения функций казенными учреждениями (КВР 100) - всего</t>
  </si>
  <si>
    <t xml:space="preserve">Фонд оплаты труда казенных учреждений (КВР 111)
</t>
  </si>
  <si>
    <t xml:space="preserve">Взносы по обязательному социальному страхованию (КВР 119)      </t>
  </si>
  <si>
    <t>2.2</t>
  </si>
  <si>
    <t>Закупка товаров, работ и услуг для обеспечения муниципальных нужд                             (КВР 200)</t>
  </si>
  <si>
    <t>2.3</t>
  </si>
  <si>
    <t xml:space="preserve">Социальное обеспечение и иные выплаты населению (КВР 300) </t>
  </si>
  <si>
    <t>2.4</t>
  </si>
  <si>
    <t xml:space="preserve">Капитальные вложения в объекты муниципальной собственности                              (КВР 400) </t>
  </si>
  <si>
    <t>2.5</t>
  </si>
  <si>
    <t>2.6</t>
  </si>
  <si>
    <t xml:space="preserve">Иные бюджетные ассигнования                        (КВР 800) </t>
  </si>
  <si>
    <t xml:space="preserve">Расходы на предоставление субсидий юридическим лицам (кроме некоммерческих организаций), индивидуальным предпринимателям, физическим лицам - производителям товаров, работ, услуг (КВР 810) </t>
  </si>
  <si>
    <t>Расходы на исполнение судебных актов (КВР 830)</t>
  </si>
  <si>
    <t>Расходы на уплату налогов, сборов и иных платежей (КВР 850)</t>
  </si>
  <si>
    <t>ИТОГО РАСХОДОВ</t>
  </si>
  <si>
    <t>Профицит (+)/дефицит (-)</t>
  </si>
  <si>
    <t>III</t>
  </si>
  <si>
    <t>Источники финансирования дефицита бюджета</t>
  </si>
  <si>
    <t>х</t>
  </si>
  <si>
    <t>3.1</t>
  </si>
  <si>
    <t>Изменение остатков бюджетных средств</t>
  </si>
  <si>
    <t>3.2</t>
  </si>
  <si>
    <t>Бюджетные кредиты полученные от других бюджетов бюджетной системы</t>
  </si>
  <si>
    <t xml:space="preserve">Привлечение кредитов </t>
  </si>
  <si>
    <t>Привлечение кредитов   на пополнение остатков средств на счетах  бюджетов</t>
  </si>
  <si>
    <t>Погашение кредитов</t>
  </si>
  <si>
    <t>3.3</t>
  </si>
  <si>
    <t>Кредиты кредитных организаций</t>
  </si>
  <si>
    <t>Привлечение кредитов</t>
  </si>
  <si>
    <t>3.4</t>
  </si>
  <si>
    <t>Иные источники внутреннего финансирования дефицитов бюджетов</t>
  </si>
  <si>
    <t>Увеличение фин.активов в мун.собственности за счет средств учреждений, лицевые счета которым открыты в тер.органах ФК или в фин. органах</t>
  </si>
  <si>
    <t>Исполнение муниципальных гарантий в валюте РФ</t>
  </si>
  <si>
    <t>Бюджетные кредиты, предоставленные внутри страны в валюте РФ</t>
  </si>
  <si>
    <t>IV.</t>
  </si>
  <si>
    <t>Остатки бюджетных средств на отчетную дату</t>
  </si>
  <si>
    <t>целевые</t>
  </si>
  <si>
    <t>нецелевые</t>
  </si>
  <si>
    <t>Превышение расходов над доходами с учетом  источников фин.дефицита бюджета</t>
  </si>
  <si>
    <t>V.</t>
  </si>
  <si>
    <t>Просроченная кредиторская задолженность - всего</t>
  </si>
  <si>
    <t>VI.</t>
  </si>
  <si>
    <t>Функциональная структура расходов</t>
  </si>
  <si>
    <t>Общегосударственные вопросы</t>
  </si>
  <si>
    <t>Национальная оборона</t>
  </si>
  <si>
    <t>Нац. безоп.и правоохр. деят-ть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</si>
  <si>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</si>
  <si>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</si>
  <si>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</si>
  <si>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</si>
  <si>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</si>
  <si>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</si>
  <si>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</si>
  <si>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</si>
  <si>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</si>
  <si>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гос. и муниц.долга</t>
  </si>
  <si>
    <t>Межбюджетные трансферты</t>
  </si>
  <si>
    <t>Итого</t>
  </si>
  <si>
    <t>Проверка</t>
  </si>
  <si>
    <t>VII.</t>
  </si>
  <si>
    <t>Справочно:</t>
  </si>
  <si>
    <t>Муниципальный долг, в том числе</t>
  </si>
  <si>
    <t>Х</t>
  </si>
  <si>
    <t xml:space="preserve"> -бюджетные кредиты</t>
  </si>
  <si>
    <t xml:space="preserve"> -кредиты от кредитных организаций</t>
  </si>
  <si>
    <t xml:space="preserve"> -муниципальные гарантии</t>
  </si>
  <si>
    <t>Штатные единицы в казенных учреждениях, ед. (факт за отчетный год, план на текущий год)</t>
  </si>
  <si>
    <t>Штатные единицы в органах местного самоуправления, ед. (факт за отчетный год, план на текущий год)</t>
  </si>
  <si>
    <t>Штатные единицы в бюджетных учреждениях (факт за отчетный год, план на текущий год)</t>
  </si>
  <si>
    <t>Штатные единицы в автономных учреждениях (факт за отчетный год, план на текущий год)</t>
  </si>
  <si>
    <t>Количество муниципальных учреждений, в т.ч.</t>
  </si>
  <si>
    <t xml:space="preserve"> -органов местного самоуправления</t>
  </si>
  <si>
    <t xml:space="preserve"> -казенных</t>
  </si>
  <si>
    <t xml:space="preserve"> -бюджетных</t>
  </si>
  <si>
    <t xml:space="preserve"> -автономных</t>
  </si>
  <si>
    <t>Руководитель      ______________ _________________________________</t>
  </si>
  <si>
    <t xml:space="preserve">                    (подпись)          (расшифровка подписи)</t>
  </si>
  <si>
    <t>Исполнитель ___________ _________ _____________________ __________</t>
  </si>
  <si>
    <t xml:space="preserve">            (должность) (подпись) (расшифровка подписи) (телефон)</t>
  </si>
  <si>
    <t xml:space="preserve">"__" ___________________ 201_ г. </t>
  </si>
  <si>
    <t>Оценка ожидаемого исполнения бюджета муниципального образования городское поселение Печенга  на 1 ноября 2016 года</t>
  </si>
</sst>
</file>

<file path=xl/styles.xml><?xml version="1.0" encoding="utf-8"?>
<styleSheet xmlns="http://schemas.openxmlformats.org/spreadsheetml/2006/main">
  <numFmts count="1">
    <numFmt numFmtId="164" formatCode="0.0%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Arial Cyr"/>
      <charset val="204"/>
    </font>
    <font>
      <sz val="10"/>
      <color indexed="1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0"/>
      <color theme="6" tint="-0.249977111117893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sz val="10"/>
      <color rgb="FF006600"/>
      <name val="Times New Roman"/>
      <family val="1"/>
      <charset val="204"/>
    </font>
    <font>
      <b/>
      <i/>
      <sz val="7"/>
      <color indexed="12"/>
      <name val="Times New Roman"/>
      <family val="1"/>
      <charset val="204"/>
    </font>
    <font>
      <b/>
      <i/>
      <sz val="8"/>
      <color indexed="12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12"/>
      <color indexed="17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6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 applyProtection="1">
      <alignment horizontal="left" wrapText="1"/>
    </xf>
    <xf numFmtId="0" fontId="3" fillId="0" borderId="0" xfId="0" applyNumberFormat="1" applyFont="1" applyFill="1" applyAlignment="1" applyProtection="1">
      <alignment wrapText="1"/>
    </xf>
    <xf numFmtId="0" fontId="4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164" fontId="4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14" fillId="3" borderId="2" xfId="0" applyNumberFormat="1" applyFont="1" applyFill="1" applyBorder="1" applyAlignment="1" applyProtection="1">
      <alignment horizontal="left" wrapText="1"/>
    </xf>
    <xf numFmtId="49" fontId="6" fillId="3" borderId="2" xfId="0" applyNumberFormat="1" applyFont="1" applyFill="1" applyBorder="1" applyAlignment="1" applyProtection="1">
      <alignment horizontal="justify" wrapText="1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164" fontId="13" fillId="3" borderId="2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wrapText="1"/>
      <protection locked="0"/>
    </xf>
    <xf numFmtId="49" fontId="14" fillId="0" borderId="2" xfId="0" applyNumberFormat="1" applyFont="1" applyFill="1" applyBorder="1" applyAlignment="1" applyProtection="1">
      <alignment horizontal="left" wrapText="1"/>
    </xf>
    <xf numFmtId="49" fontId="15" fillId="0" borderId="2" xfId="0" applyNumberFormat="1" applyFont="1" applyFill="1" applyBorder="1" applyAlignment="1" applyProtection="1">
      <alignment horizontal="justify" wrapText="1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wrapText="1"/>
    </xf>
    <xf numFmtId="49" fontId="16" fillId="0" borderId="2" xfId="0" applyNumberFormat="1" applyFont="1" applyFill="1" applyBorder="1" applyAlignment="1" applyProtection="1">
      <alignment horizontal="justify" wrapText="1"/>
    </xf>
    <xf numFmtId="3" fontId="17" fillId="0" borderId="2" xfId="0" applyNumberFormat="1" applyFont="1" applyFill="1" applyBorder="1" applyAlignment="1" applyProtection="1">
      <alignment horizontal="center" vertical="center" wrapText="1"/>
    </xf>
    <xf numFmtId="3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left" wrapText="1"/>
    </xf>
    <xf numFmtId="49" fontId="17" fillId="0" borderId="2" xfId="0" applyNumberFormat="1" applyFont="1" applyFill="1" applyBorder="1" applyAlignment="1" applyProtection="1">
      <alignment horizontal="justify" wrapText="1"/>
    </xf>
    <xf numFmtId="3" fontId="16" fillId="2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justify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3" fontId="14" fillId="2" borderId="2" xfId="0" applyNumberFormat="1" applyFont="1" applyFill="1" applyBorder="1" applyAlignment="1" applyProtection="1">
      <alignment horizontal="left" wrapText="1"/>
    </xf>
    <xf numFmtId="49" fontId="6" fillId="2" borderId="2" xfId="0" applyNumberFormat="1" applyFont="1" applyFill="1" applyBorder="1" applyAlignment="1" applyProtection="1">
      <alignment horizontal="justify" wrapText="1"/>
    </xf>
    <xf numFmtId="0" fontId="5" fillId="2" borderId="0" xfId="0" applyFont="1" applyFill="1" applyBorder="1" applyAlignment="1" applyProtection="1">
      <alignment wrapText="1"/>
      <protection locked="0"/>
    </xf>
    <xf numFmtId="3" fontId="14" fillId="4" borderId="2" xfId="0" applyNumberFormat="1" applyFont="1" applyFill="1" applyBorder="1" applyAlignment="1" applyProtection="1">
      <alignment horizontal="left" wrapText="1"/>
    </xf>
    <xf numFmtId="49" fontId="19" fillId="4" borderId="2" xfId="0" applyNumberFormat="1" applyFont="1" applyFill="1" applyBorder="1" applyAlignment="1" applyProtection="1">
      <alignment horizontal="justify" wrapText="1"/>
    </xf>
    <xf numFmtId="3" fontId="7" fillId="4" borderId="2" xfId="0" applyNumberFormat="1" applyFont="1" applyFill="1" applyBorder="1" applyAlignment="1" applyProtection="1">
      <alignment horizontal="center" vertical="center" wrapText="1"/>
    </xf>
    <xf numFmtId="3" fontId="6" fillId="4" borderId="2" xfId="0" applyNumberFormat="1" applyFont="1" applyFill="1" applyBorder="1" applyAlignment="1" applyProtection="1">
      <alignment horizontal="center" vertical="center" wrapText="1"/>
    </xf>
    <xf numFmtId="164" fontId="13" fillId="4" borderId="2" xfId="1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wrapText="1"/>
      <protection locked="0"/>
    </xf>
    <xf numFmtId="3" fontId="14" fillId="5" borderId="2" xfId="0" applyNumberFormat="1" applyFont="1" applyFill="1" applyBorder="1" applyAlignment="1" applyProtection="1">
      <alignment horizontal="left" wrapText="1"/>
    </xf>
    <xf numFmtId="49" fontId="19" fillId="0" borderId="2" xfId="0" applyNumberFormat="1" applyFont="1" applyFill="1" applyBorder="1" applyAlignment="1" applyProtection="1">
      <alignment horizont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49" fontId="2" fillId="5" borderId="2" xfId="0" applyNumberFormat="1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  <protection locked="0"/>
    </xf>
    <xf numFmtId="3" fontId="16" fillId="0" borderId="2" xfId="0" applyNumberFormat="1" applyFont="1" applyFill="1" applyBorder="1" applyAlignment="1" applyProtection="1">
      <alignment vertical="center" wrapText="1"/>
      <protection locked="0"/>
    </xf>
    <xf numFmtId="3" fontId="12" fillId="0" borderId="2" xfId="0" applyNumberFormat="1" applyFont="1" applyFill="1" applyBorder="1" applyAlignment="1" applyProtection="1">
      <alignment vertical="center" wrapText="1"/>
      <protection locked="0"/>
    </xf>
    <xf numFmtId="49" fontId="19" fillId="6" borderId="2" xfId="0" applyNumberFormat="1" applyFont="1" applyFill="1" applyBorder="1" applyAlignment="1" applyProtection="1">
      <alignment horizontal="justify" vertical="center" wrapText="1"/>
    </xf>
    <xf numFmtId="3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6" borderId="2" xfId="0" applyNumberFormat="1" applyFont="1" applyFill="1" applyBorder="1" applyAlignment="1" applyProtection="1">
      <alignment horizontal="center" vertical="center" wrapText="1"/>
    </xf>
    <xf numFmtId="3" fontId="7" fillId="6" borderId="2" xfId="0" applyNumberFormat="1" applyFont="1" applyFill="1" applyBorder="1" applyAlignment="1" applyProtection="1">
      <alignment horizontal="center" vertical="center" wrapText="1"/>
    </xf>
    <xf numFmtId="164" fontId="8" fillId="6" borderId="2" xfId="1" applyNumberFormat="1" applyFont="1" applyFill="1" applyBorder="1" applyAlignment="1" applyProtection="1">
      <alignment horizontal="center" vertical="center" wrapText="1"/>
    </xf>
    <xf numFmtId="164" fontId="13" fillId="6" borderId="2" xfId="1" applyNumberFormat="1" applyFont="1" applyFill="1" applyBorder="1" applyAlignment="1" applyProtection="1">
      <alignment horizontal="center" vertical="center" wrapText="1"/>
    </xf>
    <xf numFmtId="49" fontId="17" fillId="6" borderId="2" xfId="0" applyNumberFormat="1" applyFont="1" applyFill="1" applyBorder="1" applyAlignment="1" applyProtection="1">
      <alignment horizontal="justify" vertical="center" wrapText="1"/>
    </xf>
    <xf numFmtId="3" fontId="17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20" fillId="6" borderId="2" xfId="0" applyNumberFormat="1" applyFont="1" applyFill="1" applyBorder="1" applyAlignment="1" applyProtection="1">
      <alignment vertical="center"/>
      <protection locked="0"/>
    </xf>
    <xf numFmtId="3" fontId="15" fillId="6" borderId="2" xfId="0" applyNumberFormat="1" applyFont="1" applyFill="1" applyBorder="1" applyAlignment="1" applyProtection="1">
      <alignment horizontal="center" vertical="center" wrapText="1"/>
    </xf>
    <xf numFmtId="164" fontId="21" fillId="6" borderId="2" xfId="1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wrapText="1"/>
      <protection locked="0"/>
    </xf>
    <xf numFmtId="3" fontId="22" fillId="3" borderId="2" xfId="0" applyNumberFormat="1" applyFont="1" applyFill="1" applyBorder="1" applyAlignment="1" applyProtection="1">
      <alignment horizontal="left" wrapText="1"/>
    </xf>
    <xf numFmtId="3" fontId="7" fillId="3" borderId="2" xfId="0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wrapText="1"/>
      <protection locked="0"/>
    </xf>
    <xf numFmtId="49" fontId="23" fillId="2" borderId="2" xfId="0" applyNumberFormat="1" applyFont="1" applyFill="1" applyBorder="1" applyAlignment="1" applyProtection="1">
      <alignment horizontal="justify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justify" wrapText="1"/>
    </xf>
    <xf numFmtId="3" fontId="7" fillId="0" borderId="2" xfId="0" applyNumberFormat="1" applyFont="1" applyFill="1" applyBorder="1" applyAlignment="1" applyProtection="1">
      <alignment horizontal="center" wrapText="1"/>
    </xf>
    <xf numFmtId="3" fontId="7" fillId="2" borderId="2" xfId="0" applyNumberFormat="1" applyFont="1" applyFill="1" applyBorder="1" applyAlignment="1" applyProtection="1">
      <alignment horizontal="center" wrapText="1"/>
    </xf>
    <xf numFmtId="3" fontId="24" fillId="0" borderId="2" xfId="0" applyNumberFormat="1" applyFont="1" applyFill="1" applyBorder="1" applyAlignment="1" applyProtection="1">
      <alignment horizontal="center" wrapText="1"/>
    </xf>
    <xf numFmtId="3" fontId="8" fillId="0" borderId="2" xfId="0" applyNumberFormat="1" applyFont="1" applyFill="1" applyBorder="1" applyAlignment="1" applyProtection="1">
      <alignment horizontal="center" wrapText="1"/>
    </xf>
    <xf numFmtId="3" fontId="12" fillId="0" borderId="2" xfId="0" applyNumberFormat="1" applyFont="1" applyFill="1" applyBorder="1" applyAlignment="1" applyProtection="1">
      <alignment horizontal="center" wrapText="1"/>
      <protection locked="0"/>
    </xf>
    <xf numFmtId="3" fontId="7" fillId="0" borderId="2" xfId="0" applyNumberFormat="1" applyFont="1" applyFill="1" applyBorder="1" applyAlignment="1" applyProtection="1">
      <alignment horizontal="center" wrapText="1"/>
      <protection locked="0"/>
    </xf>
    <xf numFmtId="0" fontId="16" fillId="0" borderId="2" xfId="0" applyNumberFormat="1" applyFont="1" applyFill="1" applyBorder="1" applyAlignment="1" applyProtection="1">
      <alignment horizontal="justify" vertical="center" wrapText="1"/>
    </xf>
    <xf numFmtId="49" fontId="6" fillId="0" borderId="2" xfId="0" applyNumberFormat="1" applyFont="1" applyFill="1" applyBorder="1" applyAlignment="1" applyProtection="1">
      <alignment horizontal="justify" vertical="center" wrapText="1"/>
    </xf>
    <xf numFmtId="3" fontId="25" fillId="0" borderId="2" xfId="0" applyNumberFormat="1" applyFont="1" applyFill="1" applyBorder="1" applyAlignment="1" applyProtection="1">
      <alignment horizontal="center" wrapText="1"/>
    </xf>
    <xf numFmtId="3" fontId="6" fillId="0" borderId="2" xfId="0" applyNumberFormat="1" applyFont="1" applyFill="1" applyBorder="1" applyAlignment="1" applyProtection="1">
      <alignment horizontal="center" wrapText="1"/>
      <protection locked="0"/>
    </xf>
    <xf numFmtId="3" fontId="8" fillId="0" borderId="2" xfId="0" applyNumberFormat="1" applyFont="1" applyFill="1" applyBorder="1" applyAlignment="1" applyProtection="1">
      <alignment horizontal="center" wrapText="1"/>
      <protection locked="0"/>
    </xf>
    <xf numFmtId="3" fontId="14" fillId="0" borderId="2" xfId="0" applyNumberFormat="1" applyFont="1" applyFill="1" applyBorder="1" applyAlignment="1" applyProtection="1">
      <alignment horizontal="left" wrapText="1"/>
    </xf>
    <xf numFmtId="3" fontId="25" fillId="2" borderId="2" xfId="0" applyNumberFormat="1" applyFont="1" applyFill="1" applyBorder="1" applyAlignment="1" applyProtection="1">
      <alignment horizontal="center" wrapText="1"/>
    </xf>
    <xf numFmtId="3" fontId="26" fillId="0" borderId="2" xfId="0" applyNumberFormat="1" applyFont="1" applyFill="1" applyBorder="1" applyAlignment="1" applyProtection="1">
      <alignment horizontal="center" wrapText="1"/>
    </xf>
    <xf numFmtId="3" fontId="16" fillId="0" borderId="2" xfId="0" applyNumberFormat="1" applyFont="1" applyFill="1" applyBorder="1" applyAlignment="1" applyProtection="1">
      <alignment horizontal="center" wrapText="1"/>
      <protection locked="0"/>
    </xf>
    <xf numFmtId="3" fontId="13" fillId="0" borderId="2" xfId="0" applyNumberFormat="1" applyFont="1" applyFill="1" applyBorder="1" applyAlignment="1" applyProtection="1">
      <alignment horizontal="center" wrapText="1"/>
      <protection locked="0"/>
    </xf>
    <xf numFmtId="3" fontId="27" fillId="0" borderId="2" xfId="0" applyNumberFormat="1" applyFont="1" applyFill="1" applyBorder="1" applyAlignment="1" applyProtection="1">
      <alignment horizontal="left" wrapText="1"/>
    </xf>
    <xf numFmtId="0" fontId="28" fillId="0" borderId="0" xfId="0" applyFont="1" applyBorder="1" applyAlignment="1" applyProtection="1">
      <alignment wrapText="1"/>
      <protection locked="0"/>
    </xf>
    <xf numFmtId="3" fontId="29" fillId="0" borderId="2" xfId="0" applyNumberFormat="1" applyFont="1" applyFill="1" applyBorder="1" applyAlignment="1" applyProtection="1">
      <alignment horizontal="left" wrapText="1"/>
    </xf>
    <xf numFmtId="49" fontId="28" fillId="0" borderId="2" xfId="0" applyNumberFormat="1" applyFont="1" applyFill="1" applyBorder="1" applyAlignment="1" applyProtection="1">
      <alignment horizontal="justify" wrapText="1"/>
    </xf>
    <xf numFmtId="3" fontId="30" fillId="0" borderId="2" xfId="0" applyNumberFormat="1" applyFont="1" applyFill="1" applyBorder="1" applyAlignment="1" applyProtection="1">
      <alignment horizontal="center" wrapText="1"/>
    </xf>
    <xf numFmtId="3" fontId="31" fillId="0" borderId="2" xfId="0" applyNumberFormat="1" applyFont="1" applyFill="1" applyBorder="1" applyAlignment="1" applyProtection="1">
      <alignment horizontal="center" wrapText="1"/>
    </xf>
    <xf numFmtId="3" fontId="31" fillId="2" borderId="2" xfId="0" applyNumberFormat="1" applyFont="1" applyFill="1" applyBorder="1" applyAlignment="1" applyProtection="1">
      <alignment horizontal="center" wrapText="1"/>
    </xf>
    <xf numFmtId="164" fontId="21" fillId="2" borderId="2" xfId="1" applyNumberFormat="1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wrapText="1"/>
      <protection locked="0"/>
    </xf>
    <xf numFmtId="3" fontId="7" fillId="2" borderId="2" xfId="0" applyNumberFormat="1" applyFont="1" applyFill="1" applyBorder="1" applyAlignment="1" applyProtection="1">
      <alignment horizontal="center" wrapText="1"/>
      <protection locked="0"/>
    </xf>
    <xf numFmtId="164" fontId="7" fillId="0" borderId="2" xfId="0" applyNumberFormat="1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justify" wrapText="1"/>
    </xf>
    <xf numFmtId="3" fontId="16" fillId="0" borderId="2" xfId="0" applyNumberFormat="1" applyFont="1" applyBorder="1" applyAlignment="1" applyProtection="1">
      <alignment wrapText="1"/>
    </xf>
    <xf numFmtId="3" fontId="0" fillId="2" borderId="2" xfId="0" applyNumberFormat="1" applyFont="1" applyFill="1" applyBorder="1" applyAlignment="1" applyProtection="1">
      <alignment wrapText="1"/>
      <protection locked="0"/>
    </xf>
    <xf numFmtId="0" fontId="16" fillId="0" borderId="2" xfId="0" applyFont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left" wrapText="1"/>
    </xf>
    <xf numFmtId="3" fontId="34" fillId="0" borderId="2" xfId="0" applyNumberFormat="1" applyFont="1" applyFill="1" applyBorder="1" applyAlignment="1" applyProtection="1">
      <alignment horizontal="justify" vertical="center" wrapText="1"/>
    </xf>
    <xf numFmtId="3" fontId="0" fillId="0" borderId="2" xfId="0" applyNumberFormat="1" applyFont="1" applyBorder="1" applyAlignment="1" applyProtection="1">
      <alignment wrapText="1"/>
      <protection locked="0"/>
    </xf>
    <xf numFmtId="3" fontId="12" fillId="0" borderId="2" xfId="0" applyNumberFormat="1" applyFont="1" applyFill="1" applyBorder="1" applyAlignment="1" applyProtection="1">
      <protection locked="0"/>
    </xf>
    <xf numFmtId="3" fontId="16" fillId="0" borderId="2" xfId="0" applyNumberFormat="1" applyFont="1" applyFill="1" applyBorder="1" applyAlignment="1" applyProtection="1">
      <protection locked="0"/>
    </xf>
    <xf numFmtId="3" fontId="16" fillId="0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3" fontId="34" fillId="0" borderId="5" xfId="0" applyNumberFormat="1" applyFont="1" applyFill="1" applyBorder="1" applyAlignment="1" applyProtection="1">
      <alignment horizontal="justify" vertical="center" wrapText="1"/>
    </xf>
    <xf numFmtId="3" fontId="12" fillId="0" borderId="2" xfId="0" applyNumberFormat="1" applyFont="1" applyFill="1" applyBorder="1" applyAlignment="1" applyProtection="1">
      <alignment wrapText="1"/>
      <protection locked="0"/>
    </xf>
    <xf numFmtId="3" fontId="16" fillId="0" borderId="2" xfId="0" applyNumberFormat="1" applyFont="1" applyFill="1" applyBorder="1" applyAlignment="1" applyProtection="1">
      <alignment wrapText="1"/>
      <protection locked="0"/>
    </xf>
    <xf numFmtId="3" fontId="16" fillId="0" borderId="2" xfId="0" applyNumberFormat="1" applyFont="1" applyFill="1" applyBorder="1" applyAlignment="1" applyProtection="1">
      <alignment horizontal="right" wrapText="1"/>
      <protection locked="0"/>
    </xf>
    <xf numFmtId="0" fontId="3" fillId="0" borderId="5" xfId="0" applyNumberFormat="1" applyFont="1" applyFill="1" applyBorder="1" applyAlignment="1" applyProtection="1">
      <alignment horizontal="justify" wrapText="1"/>
    </xf>
    <xf numFmtId="3" fontId="16" fillId="0" borderId="2" xfId="0" applyNumberFormat="1" applyFont="1" applyFill="1" applyBorder="1" applyAlignment="1" applyProtection="1">
      <alignment wrapText="1"/>
    </xf>
    <xf numFmtId="3" fontId="16" fillId="2" borderId="2" xfId="0" applyNumberFormat="1" applyFont="1" applyFill="1" applyBorder="1" applyAlignment="1" applyProtection="1">
      <alignment wrapText="1"/>
    </xf>
    <xf numFmtId="3" fontId="3" fillId="0" borderId="2" xfId="0" applyNumberFormat="1" applyFont="1" applyFill="1" applyBorder="1" applyAlignment="1" applyProtection="1">
      <alignment wrapText="1"/>
    </xf>
    <xf numFmtId="164" fontId="16" fillId="0" borderId="2" xfId="0" applyNumberFormat="1" applyFont="1" applyFill="1" applyBorder="1" applyAlignment="1" applyProtection="1">
      <alignment wrapText="1"/>
    </xf>
    <xf numFmtId="0" fontId="6" fillId="0" borderId="5" xfId="0" applyNumberFormat="1" applyFont="1" applyFill="1" applyBorder="1" applyAlignment="1" applyProtection="1">
      <alignment horizontal="justify"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center" wrapText="1"/>
    </xf>
    <xf numFmtId="0" fontId="3" fillId="2" borderId="2" xfId="0" applyNumberFormat="1" applyFont="1" applyFill="1" applyBorder="1" applyAlignment="1" applyProtection="1">
      <alignment horizontal="center" wrapText="1"/>
    </xf>
    <xf numFmtId="3" fontId="3" fillId="0" borderId="2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Fill="1" applyBorder="1" applyAlignment="1" applyProtection="1">
      <alignment horizontal="center" wrapText="1"/>
    </xf>
    <xf numFmtId="164" fontId="16" fillId="0" borderId="2" xfId="0" applyNumberFormat="1" applyFont="1" applyFill="1" applyBorder="1" applyAlignment="1" applyProtection="1">
      <alignment horizontal="center" wrapText="1"/>
    </xf>
    <xf numFmtId="0" fontId="16" fillId="0" borderId="2" xfId="0" applyNumberFormat="1" applyFont="1" applyFill="1" applyBorder="1" applyAlignment="1" applyProtection="1">
      <alignment horizontal="center" wrapText="1"/>
      <protection locked="0"/>
    </xf>
    <xf numFmtId="0" fontId="16" fillId="0" borderId="5" xfId="0" applyNumberFormat="1" applyFont="1" applyFill="1" applyBorder="1" applyAlignment="1" applyProtection="1">
      <alignment horizontal="justify" wrapText="1"/>
    </xf>
    <xf numFmtId="0" fontId="3" fillId="0" borderId="2" xfId="0" applyNumberFormat="1" applyFont="1" applyFill="1" applyBorder="1" applyAlignment="1" applyProtection="1">
      <alignment wrapText="1"/>
      <protection locked="0"/>
    </xf>
    <xf numFmtId="0" fontId="16" fillId="2" borderId="5" xfId="0" applyNumberFormat="1" applyFont="1" applyFill="1" applyBorder="1" applyAlignment="1" applyProtection="1">
      <alignment horizontal="justify" vertical="center" wrapText="1"/>
    </xf>
    <xf numFmtId="0" fontId="12" fillId="0" borderId="2" xfId="0" applyNumberFormat="1" applyFont="1" applyFill="1" applyBorder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wrapText="1"/>
      <protection locked="0"/>
    </xf>
    <xf numFmtId="0" fontId="16" fillId="0" borderId="2" xfId="0" applyFont="1" applyFill="1" applyBorder="1" applyAlignment="1" applyProtection="1">
      <alignment horizontal="center" wrapText="1"/>
      <protection locked="0"/>
    </xf>
    <xf numFmtId="0" fontId="16" fillId="0" borderId="5" xfId="0" applyNumberFormat="1" applyFont="1" applyFill="1" applyBorder="1" applyAlignment="1" applyProtection="1">
      <alignment horizontal="justify" vertical="center" wrapText="1"/>
    </xf>
    <xf numFmtId="0" fontId="16" fillId="0" borderId="2" xfId="0" applyNumberFormat="1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0" fontId="35" fillId="0" borderId="0" xfId="0" applyNumberFormat="1" applyFont="1" applyFill="1" applyBorder="1" applyAlignment="1" applyProtection="1">
      <alignment wrapText="1"/>
    </xf>
    <xf numFmtId="3" fontId="3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wrapText="1"/>
    </xf>
    <xf numFmtId="164" fontId="3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33" fillId="0" borderId="0" xfId="0" applyFont="1"/>
    <xf numFmtId="0" fontId="33" fillId="0" borderId="0" xfId="0" applyNumberFormat="1" applyFont="1" applyFill="1" applyBorder="1" applyAlignment="1" applyProtection="1">
      <alignment wrapText="1"/>
      <protection locked="0"/>
    </xf>
    <xf numFmtId="0" fontId="33" fillId="2" borderId="0" xfId="0" applyNumberFormat="1" applyFont="1" applyFill="1" applyBorder="1" applyAlignment="1" applyProtection="1">
      <alignment wrapText="1"/>
      <protection locked="0"/>
    </xf>
    <xf numFmtId="0" fontId="36" fillId="0" borderId="0" xfId="0" applyNumberFormat="1" applyFont="1" applyFill="1" applyBorder="1" applyAlignment="1" applyProtection="1">
      <alignment wrapText="1"/>
      <protection locked="0"/>
    </xf>
    <xf numFmtId="3" fontId="35" fillId="0" borderId="0" xfId="0" applyNumberFormat="1" applyFont="1" applyFill="1" applyBorder="1" applyAlignment="1" applyProtection="1">
      <alignment wrapText="1"/>
      <protection locked="0"/>
    </xf>
    <xf numFmtId="0" fontId="35" fillId="0" borderId="0" xfId="0" applyNumberFormat="1" applyFont="1" applyFill="1" applyBorder="1" applyAlignment="1" applyProtection="1">
      <alignment wrapText="1"/>
      <protection locked="0"/>
    </xf>
    <xf numFmtId="164" fontId="5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3" fillId="2" borderId="0" xfId="0" applyNumberFormat="1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Fill="1" applyAlignment="1" applyProtection="1">
      <alignment wrapText="1"/>
      <protection locked="0"/>
    </xf>
    <xf numFmtId="0" fontId="3" fillId="2" borderId="0" xfId="0" applyNumberFormat="1" applyFont="1" applyFill="1" applyAlignment="1" applyProtection="1">
      <alignment wrapText="1"/>
      <protection locked="0"/>
    </xf>
    <xf numFmtId="0" fontId="35" fillId="0" borderId="0" xfId="0" applyNumberFormat="1" applyFont="1" applyFill="1" applyAlignment="1" applyProtection="1">
      <alignment wrapText="1"/>
      <protection locked="0"/>
    </xf>
    <xf numFmtId="3" fontId="35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164" fontId="3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3" fontId="8" fillId="0" borderId="1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Protection="1"/>
    <xf numFmtId="3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66"/>
  <sheetViews>
    <sheetView tabSelected="1" view="pageBreakPreview" topLeftCell="A154" zoomScale="60" workbookViewId="0">
      <selection activeCell="K128" sqref="K128"/>
    </sheetView>
  </sheetViews>
  <sheetFormatPr defaultColWidth="10.5703125" defaultRowHeight="11.25" outlineLevelCol="1"/>
  <cols>
    <col min="1" max="1" width="3.85546875" style="159" customWidth="1"/>
    <col min="2" max="2" width="39.5703125" style="160" customWidth="1"/>
    <col min="3" max="3" width="9.5703125" style="160" customWidth="1"/>
    <col min="4" max="4" width="8.5703125" style="160" customWidth="1"/>
    <col min="5" max="5" width="8.5703125" style="161" customWidth="1"/>
    <col min="6" max="6" width="9.42578125" style="162" customWidth="1"/>
    <col min="7" max="8" width="8.5703125" style="162" customWidth="1"/>
    <col min="9" max="9" width="15.28515625" style="163" customWidth="1"/>
    <col min="10" max="11" width="8.5703125" style="162" customWidth="1"/>
    <col min="12" max="12" width="8.85546875" style="162" customWidth="1"/>
    <col min="13" max="14" width="8.5703125" style="162" customWidth="1"/>
    <col min="15" max="15" width="9.42578125" style="164" customWidth="1"/>
    <col min="16" max="17" width="8.5703125" style="164" customWidth="1"/>
    <col min="18" max="18" width="9.28515625" style="165" customWidth="1"/>
    <col min="19" max="19" width="9.42578125" style="166" customWidth="1" outlineLevel="1"/>
    <col min="20" max="21" width="8.5703125" style="166" customWidth="1" outlineLevel="1"/>
    <col min="22" max="22" width="9.42578125" style="166" customWidth="1" outlineLevel="1"/>
    <col min="23" max="24" width="8.5703125" style="166" customWidth="1" outlineLevel="1"/>
    <col min="25" max="25" width="9.5703125" style="166" customWidth="1" outlineLevel="1"/>
    <col min="26" max="27" width="8.5703125" style="166" customWidth="1" outlineLevel="1"/>
    <col min="28" max="28" width="8.28515625" style="167" customWidth="1" outlineLevel="1"/>
    <col min="29" max="16384" width="10.5703125" style="6"/>
  </cols>
  <sheetData>
    <row r="1" spans="1:28" ht="18.75">
      <c r="A1" s="1"/>
      <c r="B1" s="2"/>
      <c r="C1" s="168" t="s">
        <v>202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3"/>
      <c r="Z1" s="4" t="s">
        <v>0</v>
      </c>
      <c r="AA1" s="3"/>
      <c r="AB1" s="5"/>
    </row>
    <row r="2" spans="1:28" s="7" customFormat="1" ht="12.75">
      <c r="A2" s="169" t="s">
        <v>1</v>
      </c>
      <c r="B2" s="172" t="s">
        <v>2</v>
      </c>
      <c r="C2" s="173" t="s">
        <v>3</v>
      </c>
      <c r="D2" s="174"/>
      <c r="E2" s="174"/>
      <c r="F2" s="174"/>
      <c r="G2" s="174"/>
      <c r="H2" s="174"/>
      <c r="I2" s="174"/>
      <c r="J2" s="174"/>
      <c r="K2" s="175"/>
      <c r="L2" s="173" t="s">
        <v>4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5"/>
    </row>
    <row r="3" spans="1:28" s="7" customFormat="1" ht="12.75">
      <c r="A3" s="170"/>
      <c r="B3" s="172"/>
      <c r="C3" s="176" t="s">
        <v>5</v>
      </c>
      <c r="D3" s="176"/>
      <c r="E3" s="176"/>
      <c r="F3" s="177" t="s">
        <v>6</v>
      </c>
      <c r="G3" s="177"/>
      <c r="H3" s="177"/>
      <c r="I3" s="178" t="s">
        <v>7</v>
      </c>
      <c r="J3" s="179"/>
      <c r="K3" s="180"/>
      <c r="L3" s="181" t="s">
        <v>8</v>
      </c>
      <c r="M3" s="181"/>
      <c r="N3" s="181"/>
      <c r="O3" s="181" t="s">
        <v>9</v>
      </c>
      <c r="P3" s="181"/>
      <c r="Q3" s="181"/>
      <c r="R3" s="186" t="s">
        <v>10</v>
      </c>
      <c r="S3" s="188" t="s">
        <v>6</v>
      </c>
      <c r="T3" s="189"/>
      <c r="U3" s="190"/>
      <c r="V3" s="188" t="s">
        <v>11</v>
      </c>
      <c r="W3" s="189"/>
      <c r="X3" s="190"/>
      <c r="Y3" s="191" t="s">
        <v>12</v>
      </c>
      <c r="Z3" s="192"/>
      <c r="AA3" s="193"/>
      <c r="AB3" s="182" t="s">
        <v>13</v>
      </c>
    </row>
    <row r="4" spans="1:28" s="7" customFormat="1" ht="12.75">
      <c r="A4" s="170"/>
      <c r="B4" s="172"/>
      <c r="C4" s="176" t="s">
        <v>14</v>
      </c>
      <c r="D4" s="176" t="s">
        <v>15</v>
      </c>
      <c r="E4" s="176"/>
      <c r="F4" s="176" t="s">
        <v>14</v>
      </c>
      <c r="G4" s="176" t="s">
        <v>16</v>
      </c>
      <c r="H4" s="176"/>
      <c r="I4" s="183" t="s">
        <v>14</v>
      </c>
      <c r="J4" s="176" t="s">
        <v>16</v>
      </c>
      <c r="K4" s="176"/>
      <c r="L4" s="194" t="s">
        <v>14</v>
      </c>
      <c r="M4" s="181" t="s">
        <v>15</v>
      </c>
      <c r="N4" s="181"/>
      <c r="O4" s="194" t="s">
        <v>14</v>
      </c>
      <c r="P4" s="181" t="s">
        <v>15</v>
      </c>
      <c r="Q4" s="181"/>
      <c r="R4" s="187"/>
      <c r="S4" s="184" t="s">
        <v>14</v>
      </c>
      <c r="T4" s="195" t="s">
        <v>16</v>
      </c>
      <c r="U4" s="196"/>
      <c r="V4" s="184" t="s">
        <v>14</v>
      </c>
      <c r="W4" s="195" t="s">
        <v>16</v>
      </c>
      <c r="X4" s="196"/>
      <c r="Y4" s="184" t="s">
        <v>14</v>
      </c>
      <c r="Z4" s="195" t="s">
        <v>16</v>
      </c>
      <c r="AA4" s="196"/>
      <c r="AB4" s="182"/>
    </row>
    <row r="5" spans="1:28" s="7" customFormat="1" ht="89.25">
      <c r="A5" s="171"/>
      <c r="B5" s="172"/>
      <c r="C5" s="176"/>
      <c r="D5" s="8" t="s">
        <v>17</v>
      </c>
      <c r="E5" s="9" t="s">
        <v>18</v>
      </c>
      <c r="F5" s="176"/>
      <c r="G5" s="8" t="s">
        <v>17</v>
      </c>
      <c r="H5" s="10" t="s">
        <v>18</v>
      </c>
      <c r="I5" s="183"/>
      <c r="J5" s="8" t="s">
        <v>17</v>
      </c>
      <c r="K5" s="10" t="s">
        <v>18</v>
      </c>
      <c r="L5" s="194"/>
      <c r="M5" s="11" t="s">
        <v>17</v>
      </c>
      <c r="N5" s="12" t="s">
        <v>18</v>
      </c>
      <c r="O5" s="194"/>
      <c r="P5" s="11" t="s">
        <v>17</v>
      </c>
      <c r="Q5" s="12" t="s">
        <v>18</v>
      </c>
      <c r="R5" s="187"/>
      <c r="S5" s="185"/>
      <c r="T5" s="11" t="s">
        <v>17</v>
      </c>
      <c r="U5" s="12" t="s">
        <v>19</v>
      </c>
      <c r="V5" s="185"/>
      <c r="W5" s="11" t="s">
        <v>17</v>
      </c>
      <c r="X5" s="12" t="s">
        <v>19</v>
      </c>
      <c r="Y5" s="185"/>
      <c r="Z5" s="11" t="s">
        <v>17</v>
      </c>
      <c r="AA5" s="12" t="s">
        <v>19</v>
      </c>
      <c r="AB5" s="182"/>
    </row>
    <row r="6" spans="1:28" s="17" customFormat="1" ht="12.75">
      <c r="A6" s="13" t="s">
        <v>20</v>
      </c>
      <c r="B6" s="14" t="s">
        <v>21</v>
      </c>
      <c r="C6" s="15">
        <f>C7+C34</f>
        <v>56449.060340000004</v>
      </c>
      <c r="D6" s="15">
        <f>D7+D34</f>
        <v>2002.5655899999999</v>
      </c>
      <c r="E6" s="15">
        <f>C6-D6</f>
        <v>54446.494750000005</v>
      </c>
      <c r="F6" s="15">
        <f>F7+F34</f>
        <v>41825.206100000003</v>
      </c>
      <c r="G6" s="15">
        <f>G7+G34</f>
        <v>193.11623</v>
      </c>
      <c r="H6" s="15">
        <f>F6-G6</f>
        <v>41632.089870000003</v>
      </c>
      <c r="I6" s="15">
        <f>I7+I34</f>
        <v>4919.9771400000009</v>
      </c>
      <c r="J6" s="15">
        <f>J7+J34</f>
        <v>1143.1591899999999</v>
      </c>
      <c r="K6" s="15">
        <f>I6-J6</f>
        <v>3776.817950000001</v>
      </c>
      <c r="L6" s="15">
        <f>L7+L34</f>
        <v>54423.443999999996</v>
      </c>
      <c r="M6" s="15">
        <f>M7+M34</f>
        <v>428.99299999999999</v>
      </c>
      <c r="N6" s="15">
        <f>L6-M6</f>
        <v>53994.450999999994</v>
      </c>
      <c r="O6" s="15">
        <f>O7+O34</f>
        <v>74220.595350000003</v>
      </c>
      <c r="P6" s="15">
        <f>P7+P34</f>
        <v>10587.075350000001</v>
      </c>
      <c r="Q6" s="15">
        <f>O6-P6</f>
        <v>63633.520000000004</v>
      </c>
      <c r="R6" s="16">
        <f>Q6/E6</f>
        <v>1.1687349257685684</v>
      </c>
      <c r="S6" s="15">
        <f>S7+S34</f>
        <v>47785.792679999999</v>
      </c>
      <c r="T6" s="15">
        <f>T7+T34</f>
        <v>781.58502999999996</v>
      </c>
      <c r="U6" s="15">
        <f>S6-T6</f>
        <v>47004.207649999997</v>
      </c>
      <c r="V6" s="15">
        <f>V7+V34</f>
        <v>13630</v>
      </c>
      <c r="W6" s="15">
        <f>W7+W34</f>
        <v>8838</v>
      </c>
      <c r="X6" s="15">
        <f>V6-W6</f>
        <v>4792</v>
      </c>
      <c r="Y6" s="15">
        <f>Y7+Y34</f>
        <v>70542.967250000002</v>
      </c>
      <c r="Z6" s="15">
        <f>Z7+Z34</f>
        <v>10587.075350000001</v>
      </c>
      <c r="AA6" s="15">
        <f>Y6-Z6</f>
        <v>59955.891900000002</v>
      </c>
      <c r="AB6" s="16">
        <f>AA6/E6</f>
        <v>1.1011891982265762</v>
      </c>
    </row>
    <row r="7" spans="1:28" s="7" customFormat="1" ht="13.5">
      <c r="A7" s="18" t="s">
        <v>22</v>
      </c>
      <c r="B7" s="19" t="s">
        <v>23</v>
      </c>
      <c r="C7" s="20">
        <f>C8+C20</f>
        <v>47730.158750000002</v>
      </c>
      <c r="D7" s="20">
        <f>D8+D20</f>
        <v>0</v>
      </c>
      <c r="E7" s="21">
        <f t="shared" ref="E7:E84" si="0">C7-D7</f>
        <v>47730.158750000002</v>
      </c>
      <c r="F7" s="20">
        <f>F8+F20</f>
        <v>35251.570670000001</v>
      </c>
      <c r="G7" s="20">
        <f>G8+G20</f>
        <v>0</v>
      </c>
      <c r="H7" s="21">
        <f t="shared" ref="H7:H46" si="1">F7-G7</f>
        <v>35251.570670000001</v>
      </c>
      <c r="I7" s="20">
        <f>I8+I20</f>
        <v>3441.0011500000005</v>
      </c>
      <c r="J7" s="20">
        <f>J8+J20</f>
        <v>0</v>
      </c>
      <c r="K7" s="21">
        <f t="shared" ref="K7:K46" si="2">I7-J7</f>
        <v>3441.0011500000005</v>
      </c>
      <c r="L7" s="20">
        <f>L8+L20</f>
        <v>46339.850999999995</v>
      </c>
      <c r="M7" s="20">
        <f>M8+M20</f>
        <v>0</v>
      </c>
      <c r="N7" s="21">
        <f t="shared" ref="N7:N46" si="3">L7-M7</f>
        <v>46339.850999999995</v>
      </c>
      <c r="O7" s="20">
        <f>O8+O20</f>
        <v>55978.92</v>
      </c>
      <c r="P7" s="20">
        <f>P8+P20</f>
        <v>0</v>
      </c>
      <c r="Q7" s="21">
        <f t="shared" ref="Q7:Q46" si="4">O7-P7</f>
        <v>55978.92</v>
      </c>
      <c r="R7" s="22">
        <f>Q7/E7</f>
        <v>1.172820737789815</v>
      </c>
      <c r="S7" s="20">
        <f>S8+S20</f>
        <v>40445.482649999998</v>
      </c>
      <c r="T7" s="20">
        <f>T8+T20</f>
        <v>0</v>
      </c>
      <c r="U7" s="21">
        <f t="shared" ref="U7:U46" si="5">S7-T7</f>
        <v>40445.482649999998</v>
      </c>
      <c r="V7" s="20">
        <f>V8+V20</f>
        <v>4792</v>
      </c>
      <c r="W7" s="20">
        <f>W8+W20</f>
        <v>0</v>
      </c>
      <c r="X7" s="21">
        <f t="shared" ref="X7:X46" si="6">V7-W7</f>
        <v>4792</v>
      </c>
      <c r="Y7" s="20">
        <f>Y8+Y20</f>
        <v>52320.884899999997</v>
      </c>
      <c r="Z7" s="20">
        <f>Z8+Z20</f>
        <v>0</v>
      </c>
      <c r="AA7" s="21">
        <f t="shared" ref="AA7:AA46" si="7">Y7-Z7</f>
        <v>52320.884899999997</v>
      </c>
      <c r="AB7" s="22">
        <f t="shared" ref="AB7:AB84" si="8">AA7/E7</f>
        <v>1.0961808271798383</v>
      </c>
    </row>
    <row r="8" spans="1:28" ht="21">
      <c r="A8" s="23" t="s">
        <v>24</v>
      </c>
      <c r="B8" s="24" t="s">
        <v>25</v>
      </c>
      <c r="C8" s="25">
        <f>C10+C11+C12+C17+C18+C19</f>
        <v>43930.817260000003</v>
      </c>
      <c r="D8" s="26"/>
      <c r="E8" s="21">
        <f t="shared" si="0"/>
        <v>43930.817260000003</v>
      </c>
      <c r="F8" s="25">
        <f>F10+F11+F12+F17+F18+F19</f>
        <v>31778.350539999999</v>
      </c>
      <c r="G8" s="26"/>
      <c r="H8" s="21">
        <f t="shared" si="1"/>
        <v>31778.350539999999</v>
      </c>
      <c r="I8" s="25">
        <f>I10+I11+I12+I17+I18+I19</f>
        <v>3294.7703400000005</v>
      </c>
      <c r="J8" s="26"/>
      <c r="K8" s="21">
        <f t="shared" si="2"/>
        <v>3294.7703400000005</v>
      </c>
      <c r="L8" s="25">
        <f>L10+L11+L12+L17+L18+L19</f>
        <v>41607.884899999997</v>
      </c>
      <c r="M8" s="26"/>
      <c r="N8" s="21">
        <f t="shared" si="3"/>
        <v>41607.884899999997</v>
      </c>
      <c r="O8" s="25">
        <f>O10+O11+O12+O17+O18+O19</f>
        <v>51608.884899999997</v>
      </c>
      <c r="P8" s="26"/>
      <c r="Q8" s="21">
        <f t="shared" si="4"/>
        <v>51608.884899999997</v>
      </c>
      <c r="R8" s="22">
        <f t="shared" ref="R8:R47" si="9">Q8/E8</f>
        <v>1.1747763442359413</v>
      </c>
      <c r="S8" s="25">
        <f>S10+S11+S12+S17+S18+S19</f>
        <v>39725.147789999995</v>
      </c>
      <c r="T8" s="26"/>
      <c r="U8" s="21">
        <f t="shared" si="5"/>
        <v>39725.147789999995</v>
      </c>
      <c r="V8" s="25">
        <f>V10+V11+V12+V17+V18+V19</f>
        <v>4707</v>
      </c>
      <c r="W8" s="26"/>
      <c r="X8" s="21">
        <f t="shared" si="6"/>
        <v>4707</v>
      </c>
      <c r="Y8" s="25">
        <f>Y10+Y11+Y12+Y17+Y18+Y19</f>
        <v>51485.884899999997</v>
      </c>
      <c r="Z8" s="26"/>
      <c r="AA8" s="21">
        <f t="shared" si="7"/>
        <v>51485.884899999997</v>
      </c>
      <c r="AB8" s="22">
        <f t="shared" si="8"/>
        <v>1.1719764873775533</v>
      </c>
    </row>
    <row r="9" spans="1:28" ht="12" customHeight="1">
      <c r="A9" s="23"/>
      <c r="B9" s="24" t="s">
        <v>26</v>
      </c>
      <c r="C9" s="27"/>
      <c r="D9" s="27"/>
      <c r="E9" s="21"/>
      <c r="F9" s="27"/>
      <c r="G9" s="27"/>
      <c r="H9" s="21"/>
      <c r="I9" s="27"/>
      <c r="J9" s="27"/>
      <c r="K9" s="21"/>
      <c r="L9" s="27"/>
      <c r="M9" s="27"/>
      <c r="N9" s="21"/>
      <c r="O9" s="27"/>
      <c r="P9" s="27"/>
      <c r="Q9" s="21"/>
      <c r="R9" s="22"/>
      <c r="S9" s="27"/>
      <c r="T9" s="27"/>
      <c r="U9" s="21"/>
      <c r="V9" s="27"/>
      <c r="W9" s="27"/>
      <c r="X9" s="21"/>
      <c r="Y9" s="27"/>
      <c r="Z9" s="27"/>
      <c r="AA9" s="21"/>
      <c r="AB9" s="22"/>
    </row>
    <row r="10" spans="1:28" ht="12.75">
      <c r="A10" s="28" t="s">
        <v>27</v>
      </c>
      <c r="B10" s="29" t="s">
        <v>28</v>
      </c>
      <c r="C10" s="26">
        <v>38063.926059999998</v>
      </c>
      <c r="D10" s="26"/>
      <c r="E10" s="21">
        <f t="shared" si="0"/>
        <v>38063.926059999998</v>
      </c>
      <c r="F10" s="26">
        <v>26721.97136</v>
      </c>
      <c r="G10" s="26"/>
      <c r="H10" s="21">
        <f t="shared" si="1"/>
        <v>26721.97136</v>
      </c>
      <c r="I10" s="26">
        <f>29733.70191-F10</f>
        <v>3011.7305500000002</v>
      </c>
      <c r="J10" s="26"/>
      <c r="K10" s="21">
        <f t="shared" si="2"/>
        <v>3011.7305500000002</v>
      </c>
      <c r="L10" s="26">
        <v>34760</v>
      </c>
      <c r="M10" s="26"/>
      <c r="N10" s="21">
        <f t="shared" si="3"/>
        <v>34760</v>
      </c>
      <c r="O10" s="26">
        <v>44760</v>
      </c>
      <c r="P10" s="26"/>
      <c r="Q10" s="21">
        <f t="shared" si="4"/>
        <v>44760</v>
      </c>
      <c r="R10" s="22">
        <f t="shared" si="9"/>
        <v>1.1759165339236159</v>
      </c>
      <c r="S10" s="26">
        <v>33591.116009999998</v>
      </c>
      <c r="T10" s="26"/>
      <c r="U10" s="21">
        <f t="shared" si="5"/>
        <v>33591.116009999998</v>
      </c>
      <c r="V10" s="26">
        <v>4000</v>
      </c>
      <c r="W10" s="26"/>
      <c r="X10" s="21">
        <f t="shared" si="6"/>
        <v>4000</v>
      </c>
      <c r="Y10" s="26">
        <f>O10</f>
        <v>44760</v>
      </c>
      <c r="Z10" s="26"/>
      <c r="AA10" s="21">
        <f t="shared" si="7"/>
        <v>44760</v>
      </c>
      <c r="AB10" s="22">
        <f t="shared" si="8"/>
        <v>1.1759165339236159</v>
      </c>
    </row>
    <row r="11" spans="1:28" ht="25.5">
      <c r="A11" s="28" t="s">
        <v>29</v>
      </c>
      <c r="B11" s="29" t="s">
        <v>30</v>
      </c>
      <c r="C11" s="26">
        <v>5342.2660400000004</v>
      </c>
      <c r="D11" s="26"/>
      <c r="E11" s="21">
        <f t="shared" si="0"/>
        <v>5342.2660400000004</v>
      </c>
      <c r="F11" s="26">
        <v>4532.7597699999997</v>
      </c>
      <c r="G11" s="26"/>
      <c r="H11" s="21">
        <f t="shared" si="1"/>
        <v>4532.7597699999997</v>
      </c>
      <c r="I11" s="26">
        <f>4823.80904-F11</f>
        <v>291.04927000000043</v>
      </c>
      <c r="J11" s="26"/>
      <c r="K11" s="21">
        <f t="shared" si="2"/>
        <v>291.04927000000043</v>
      </c>
      <c r="L11" s="26">
        <v>6239.8849</v>
      </c>
      <c r="M11" s="26"/>
      <c r="N11" s="21">
        <f t="shared" si="3"/>
        <v>6239.8849</v>
      </c>
      <c r="O11" s="26">
        <v>6239.8849</v>
      </c>
      <c r="P11" s="26"/>
      <c r="Q11" s="21">
        <f t="shared" si="4"/>
        <v>6239.8849</v>
      </c>
      <c r="R11" s="22"/>
      <c r="S11" s="26">
        <v>5709.3987900000002</v>
      </c>
      <c r="T11" s="26"/>
      <c r="U11" s="21">
        <f t="shared" si="5"/>
        <v>5709.3987900000002</v>
      </c>
      <c r="V11" s="26">
        <v>700</v>
      </c>
      <c r="W11" s="26"/>
      <c r="X11" s="21">
        <f t="shared" si="6"/>
        <v>700</v>
      </c>
      <c r="Y11" s="26">
        <f>O11</f>
        <v>6239.8849</v>
      </c>
      <c r="Z11" s="26"/>
      <c r="AA11" s="21">
        <f t="shared" si="7"/>
        <v>6239.8849</v>
      </c>
      <c r="AB11" s="22"/>
    </row>
    <row r="12" spans="1:28" ht="12.75">
      <c r="A12" s="28" t="s">
        <v>31</v>
      </c>
      <c r="B12" s="29" t="s">
        <v>32</v>
      </c>
      <c r="C12" s="26">
        <f>SUM(C13:C16)</f>
        <v>181.29783</v>
      </c>
      <c r="D12" s="26">
        <f>SUM(D13:D16)</f>
        <v>0</v>
      </c>
      <c r="E12" s="21">
        <f>C12-D12</f>
        <v>181.29783</v>
      </c>
      <c r="F12" s="26">
        <f>F13</f>
        <v>181.29783</v>
      </c>
      <c r="G12" s="26">
        <f>SUM(G13:G16)</f>
        <v>0</v>
      </c>
      <c r="H12" s="21">
        <f t="shared" si="1"/>
        <v>181.29783</v>
      </c>
      <c r="I12" s="26">
        <f>SUM(I13:I16)</f>
        <v>0</v>
      </c>
      <c r="J12" s="26">
        <f>SUM(J13:J16)</f>
        <v>0</v>
      </c>
      <c r="K12" s="21">
        <f t="shared" si="2"/>
        <v>0</v>
      </c>
      <c r="L12" s="26">
        <f>SUM(L13:L16)</f>
        <v>190</v>
      </c>
      <c r="M12" s="26">
        <f>SUM(M13:M16)</f>
        <v>0</v>
      </c>
      <c r="N12" s="21">
        <f t="shared" si="3"/>
        <v>190</v>
      </c>
      <c r="O12" s="26">
        <f>SUM(O13:O16)</f>
        <v>190</v>
      </c>
      <c r="P12" s="26">
        <f>SUM(P13:P16)</f>
        <v>0</v>
      </c>
      <c r="Q12" s="21">
        <f t="shared" si="4"/>
        <v>190</v>
      </c>
      <c r="R12" s="22">
        <f t="shared" si="9"/>
        <v>1.0479993058935124</v>
      </c>
      <c r="S12" s="26">
        <f>SUM(S13:S16)</f>
        <v>205.53190000000001</v>
      </c>
      <c r="T12" s="26">
        <f>SUM(T13:T16)</f>
        <v>0</v>
      </c>
      <c r="U12" s="21">
        <f t="shared" si="5"/>
        <v>205.53190000000001</v>
      </c>
      <c r="V12" s="26">
        <v>7</v>
      </c>
      <c r="W12" s="26">
        <f>SUM(W13:W16)</f>
        <v>0</v>
      </c>
      <c r="X12" s="21">
        <f t="shared" si="6"/>
        <v>7</v>
      </c>
      <c r="Y12" s="26">
        <f>SUM(Y13:Y16)</f>
        <v>220</v>
      </c>
      <c r="Z12" s="26">
        <f>SUM(Z13:Z16)</f>
        <v>0</v>
      </c>
      <c r="AA12" s="21">
        <f t="shared" si="7"/>
        <v>220</v>
      </c>
      <c r="AB12" s="22">
        <f t="shared" si="8"/>
        <v>1.2134728805082775</v>
      </c>
    </row>
    <row r="13" spans="1:28" ht="25.5">
      <c r="A13" s="28"/>
      <c r="B13" s="29" t="s">
        <v>33</v>
      </c>
      <c r="C13" s="26">
        <v>181.29783</v>
      </c>
      <c r="D13" s="26"/>
      <c r="E13" s="30">
        <f t="shared" si="0"/>
        <v>181.29783</v>
      </c>
      <c r="F13" s="26">
        <v>181.29783</v>
      </c>
      <c r="G13" s="26"/>
      <c r="H13" s="30">
        <f t="shared" si="1"/>
        <v>181.29783</v>
      </c>
      <c r="I13" s="26">
        <f>181.29783-F13</f>
        <v>0</v>
      </c>
      <c r="J13" s="26"/>
      <c r="K13" s="21">
        <f>I13-J13</f>
        <v>0</v>
      </c>
      <c r="L13" s="26">
        <v>190</v>
      </c>
      <c r="M13" s="26"/>
      <c r="N13" s="30">
        <f t="shared" si="3"/>
        <v>190</v>
      </c>
      <c r="O13" s="26">
        <v>190</v>
      </c>
      <c r="P13" s="26"/>
      <c r="Q13" s="30">
        <f t="shared" si="4"/>
        <v>190</v>
      </c>
      <c r="R13" s="22">
        <f t="shared" si="9"/>
        <v>1.0479993058935124</v>
      </c>
      <c r="S13" s="26">
        <v>205.53190000000001</v>
      </c>
      <c r="T13" s="26"/>
      <c r="U13" s="30">
        <f t="shared" si="5"/>
        <v>205.53190000000001</v>
      </c>
      <c r="V13" s="26">
        <v>10</v>
      </c>
      <c r="W13" s="26"/>
      <c r="X13" s="30">
        <f t="shared" si="6"/>
        <v>10</v>
      </c>
      <c r="Y13" s="26">
        <v>220</v>
      </c>
      <c r="Z13" s="26"/>
      <c r="AA13" s="30">
        <f t="shared" si="7"/>
        <v>220</v>
      </c>
      <c r="AB13" s="22">
        <f t="shared" si="8"/>
        <v>1.2134728805082775</v>
      </c>
    </row>
    <row r="14" spans="1:28" ht="25.5">
      <c r="A14" s="28"/>
      <c r="B14" s="29" t="s">
        <v>34</v>
      </c>
      <c r="C14" s="26"/>
      <c r="D14" s="26"/>
      <c r="E14" s="30">
        <f t="shared" si="0"/>
        <v>0</v>
      </c>
      <c r="F14" s="26"/>
      <c r="G14" s="26"/>
      <c r="H14" s="30">
        <f t="shared" si="1"/>
        <v>0</v>
      </c>
      <c r="I14" s="26"/>
      <c r="J14" s="26"/>
      <c r="K14" s="21">
        <f>I14-J14</f>
        <v>0</v>
      </c>
      <c r="L14" s="26"/>
      <c r="M14" s="26"/>
      <c r="N14" s="30">
        <f t="shared" si="3"/>
        <v>0</v>
      </c>
      <c r="O14" s="26"/>
      <c r="P14" s="26"/>
      <c r="Q14" s="30">
        <f>O14-P14</f>
        <v>0</v>
      </c>
      <c r="R14" s="22" t="e">
        <f>Q14/E14</f>
        <v>#DIV/0!</v>
      </c>
      <c r="S14" s="26"/>
      <c r="T14" s="26"/>
      <c r="U14" s="30">
        <f t="shared" si="5"/>
        <v>0</v>
      </c>
      <c r="V14" s="26"/>
      <c r="W14" s="26"/>
      <c r="X14" s="30">
        <f t="shared" si="6"/>
        <v>0</v>
      </c>
      <c r="Y14" s="26"/>
      <c r="Z14" s="26"/>
      <c r="AA14" s="30">
        <f>Y14-Z14</f>
        <v>0</v>
      </c>
      <c r="AB14" s="22" t="e">
        <f>AA14/E14</f>
        <v>#DIV/0!</v>
      </c>
    </row>
    <row r="15" spans="1:28" ht="12.75">
      <c r="A15" s="28"/>
      <c r="B15" s="29" t="s">
        <v>35</v>
      </c>
      <c r="C15" s="26"/>
      <c r="D15" s="26"/>
      <c r="E15" s="30">
        <f t="shared" si="0"/>
        <v>0</v>
      </c>
      <c r="F15" s="26"/>
      <c r="G15" s="26"/>
      <c r="H15" s="30">
        <f t="shared" si="1"/>
        <v>0</v>
      </c>
      <c r="I15" s="26"/>
      <c r="J15" s="26"/>
      <c r="K15" s="21">
        <f>I15-J15</f>
        <v>0</v>
      </c>
      <c r="L15" s="26"/>
      <c r="M15" s="26"/>
      <c r="N15" s="30">
        <f t="shared" si="3"/>
        <v>0</v>
      </c>
      <c r="O15" s="26"/>
      <c r="P15" s="26"/>
      <c r="Q15" s="30">
        <f>O15-P15</f>
        <v>0</v>
      </c>
      <c r="R15" s="22" t="e">
        <f>Q15/E15</f>
        <v>#DIV/0!</v>
      </c>
      <c r="S15" s="26"/>
      <c r="T15" s="26"/>
      <c r="U15" s="30">
        <f t="shared" si="5"/>
        <v>0</v>
      </c>
      <c r="V15" s="26"/>
      <c r="W15" s="26"/>
      <c r="X15" s="30">
        <f t="shared" si="6"/>
        <v>0</v>
      </c>
      <c r="Y15" s="26"/>
      <c r="Z15" s="26"/>
      <c r="AA15" s="30">
        <f>Y15-Z15</f>
        <v>0</v>
      </c>
      <c r="AB15" s="22" t="e">
        <f>AA15/E15</f>
        <v>#DIV/0!</v>
      </c>
    </row>
    <row r="16" spans="1:28" ht="12.75">
      <c r="A16" s="28"/>
      <c r="B16" s="29" t="s">
        <v>36</v>
      </c>
      <c r="C16" s="26"/>
      <c r="D16" s="26"/>
      <c r="E16" s="30">
        <f t="shared" si="0"/>
        <v>0</v>
      </c>
      <c r="F16" s="26"/>
      <c r="G16" s="26"/>
      <c r="H16" s="30">
        <f t="shared" si="1"/>
        <v>0</v>
      </c>
      <c r="I16" s="26"/>
      <c r="J16" s="26"/>
      <c r="K16" s="21">
        <f>I16-J16</f>
        <v>0</v>
      </c>
      <c r="L16" s="26"/>
      <c r="M16" s="26"/>
      <c r="N16" s="30">
        <f t="shared" si="3"/>
        <v>0</v>
      </c>
      <c r="O16" s="26"/>
      <c r="P16" s="26"/>
      <c r="Q16" s="30">
        <f t="shared" si="4"/>
        <v>0</v>
      </c>
      <c r="R16" s="22" t="e">
        <f t="shared" si="9"/>
        <v>#DIV/0!</v>
      </c>
      <c r="S16" s="26"/>
      <c r="T16" s="26"/>
      <c r="U16" s="30">
        <f t="shared" si="5"/>
        <v>0</v>
      </c>
      <c r="V16" s="26"/>
      <c r="W16" s="26"/>
      <c r="X16" s="30">
        <f t="shared" si="6"/>
        <v>0</v>
      </c>
      <c r="Y16" s="26"/>
      <c r="Z16" s="26"/>
      <c r="AA16" s="30">
        <f t="shared" si="7"/>
        <v>0</v>
      </c>
      <c r="AB16" s="22" t="e">
        <f t="shared" si="8"/>
        <v>#DIV/0!</v>
      </c>
    </row>
    <row r="17" spans="1:28" ht="12.75">
      <c r="A17" s="28" t="s">
        <v>37</v>
      </c>
      <c r="B17" s="29" t="s">
        <v>38</v>
      </c>
      <c r="C17" s="26">
        <v>17.172720000000002</v>
      </c>
      <c r="D17" s="26"/>
      <c r="E17" s="21">
        <f t="shared" si="0"/>
        <v>17.172720000000002</v>
      </c>
      <c r="F17" s="26">
        <v>24.509370000000001</v>
      </c>
      <c r="G17" s="26"/>
      <c r="H17" s="21">
        <f t="shared" si="1"/>
        <v>24.509370000000001</v>
      </c>
      <c r="I17" s="26">
        <f>16.17272-F17</f>
        <v>-8.3366499999999988</v>
      </c>
      <c r="J17" s="26"/>
      <c r="K17" s="21">
        <f t="shared" si="2"/>
        <v>-8.3366499999999988</v>
      </c>
      <c r="L17" s="26">
        <v>28</v>
      </c>
      <c r="M17" s="26"/>
      <c r="N17" s="21">
        <f t="shared" si="3"/>
        <v>28</v>
      </c>
      <c r="O17" s="26">
        <v>28</v>
      </c>
      <c r="P17" s="26"/>
      <c r="Q17" s="21">
        <f>O17-P17</f>
        <v>28</v>
      </c>
      <c r="R17" s="22">
        <f t="shared" si="9"/>
        <v>1.6304930145020706</v>
      </c>
      <c r="S17" s="26">
        <v>9.2428600000000003</v>
      </c>
      <c r="T17" s="26"/>
      <c r="U17" s="21">
        <f t="shared" si="5"/>
        <v>9.2428600000000003</v>
      </c>
      <c r="V17" s="26">
        <v>0</v>
      </c>
      <c r="W17" s="26"/>
      <c r="X17" s="21">
        <f t="shared" si="6"/>
        <v>0</v>
      </c>
      <c r="Y17" s="26">
        <v>15</v>
      </c>
      <c r="Z17" s="26"/>
      <c r="AA17" s="21">
        <f t="shared" si="7"/>
        <v>15</v>
      </c>
      <c r="AB17" s="22">
        <f t="shared" si="8"/>
        <v>0.87347840062610926</v>
      </c>
    </row>
    <row r="18" spans="1:28" ht="12.75">
      <c r="A18" s="28" t="s">
        <v>39</v>
      </c>
      <c r="B18" s="29" t="s">
        <v>40</v>
      </c>
      <c r="C18" s="26">
        <v>324.95461</v>
      </c>
      <c r="D18" s="26"/>
      <c r="E18" s="21">
        <f t="shared" si="0"/>
        <v>324.95461</v>
      </c>
      <c r="F18" s="26">
        <v>317.01220999999998</v>
      </c>
      <c r="G18" s="26"/>
      <c r="H18" s="21">
        <f t="shared" si="1"/>
        <v>317.01220999999998</v>
      </c>
      <c r="I18" s="26">
        <f>317.33938-F18</f>
        <v>0.32717000000002372</v>
      </c>
      <c r="J18" s="26"/>
      <c r="K18" s="21">
        <f t="shared" si="2"/>
        <v>0.32717000000002372</v>
      </c>
      <c r="L18" s="26">
        <v>390</v>
      </c>
      <c r="M18" s="26"/>
      <c r="N18" s="21">
        <f t="shared" si="3"/>
        <v>390</v>
      </c>
      <c r="O18" s="26">
        <v>390</v>
      </c>
      <c r="P18" s="26"/>
      <c r="Q18" s="21">
        <f t="shared" si="4"/>
        <v>390</v>
      </c>
      <c r="R18" s="22">
        <f t="shared" si="9"/>
        <v>1.2001676172558378</v>
      </c>
      <c r="S18" s="26">
        <v>208.45822999999999</v>
      </c>
      <c r="T18" s="26"/>
      <c r="U18" s="21">
        <f t="shared" si="5"/>
        <v>208.45822999999999</v>
      </c>
      <c r="V18" s="26">
        <v>0</v>
      </c>
      <c r="W18" s="26"/>
      <c r="X18" s="21">
        <f t="shared" si="6"/>
        <v>0</v>
      </c>
      <c r="Y18" s="26">
        <v>250</v>
      </c>
      <c r="Z18" s="26"/>
      <c r="AA18" s="21">
        <f t="shared" si="7"/>
        <v>250</v>
      </c>
      <c r="AB18" s="22">
        <f t="shared" si="8"/>
        <v>0.76933821618963949</v>
      </c>
    </row>
    <row r="19" spans="1:28" ht="12.75">
      <c r="A19" s="28" t="s">
        <v>41</v>
      </c>
      <c r="B19" s="29" t="s">
        <v>42</v>
      </c>
      <c r="C19" s="26">
        <v>1.2</v>
      </c>
      <c r="D19" s="26"/>
      <c r="E19" s="21">
        <f t="shared" si="0"/>
        <v>1.2</v>
      </c>
      <c r="F19" s="26">
        <v>0.8</v>
      </c>
      <c r="G19" s="26"/>
      <c r="H19" s="21">
        <f t="shared" si="1"/>
        <v>0.8</v>
      </c>
      <c r="I19" s="26">
        <f>0.8-F19</f>
        <v>0</v>
      </c>
      <c r="J19" s="26"/>
      <c r="K19" s="21">
        <f t="shared" si="2"/>
        <v>0</v>
      </c>
      <c r="L19" s="26"/>
      <c r="M19" s="26"/>
      <c r="N19" s="21">
        <f t="shared" si="3"/>
        <v>0</v>
      </c>
      <c r="O19" s="26">
        <v>1</v>
      </c>
      <c r="P19" s="26"/>
      <c r="Q19" s="21">
        <f t="shared" si="4"/>
        <v>1</v>
      </c>
      <c r="R19" s="22">
        <f t="shared" si="9"/>
        <v>0.83333333333333337</v>
      </c>
      <c r="S19" s="26">
        <v>1.4</v>
      </c>
      <c r="T19" s="26"/>
      <c r="U19" s="21">
        <f t="shared" si="5"/>
        <v>1.4</v>
      </c>
      <c r="V19" s="26"/>
      <c r="W19" s="26"/>
      <c r="X19" s="21">
        <f t="shared" si="6"/>
        <v>0</v>
      </c>
      <c r="Y19" s="26">
        <f>O19</f>
        <v>1</v>
      </c>
      <c r="Z19" s="26"/>
      <c r="AA19" s="21">
        <f t="shared" si="7"/>
        <v>1</v>
      </c>
      <c r="AB19" s="22">
        <f t="shared" si="8"/>
        <v>0.83333333333333337</v>
      </c>
    </row>
    <row r="20" spans="1:28" ht="21">
      <c r="A20" s="23" t="s">
        <v>43</v>
      </c>
      <c r="B20" s="24" t="s">
        <v>44</v>
      </c>
      <c r="C20" s="26">
        <f>SUM(C22:C33)</f>
        <v>3799.3414900000002</v>
      </c>
      <c r="D20" s="25">
        <f>SUM(D22:D33)</f>
        <v>0</v>
      </c>
      <c r="E20" s="21">
        <f t="shared" si="0"/>
        <v>3799.3414900000002</v>
      </c>
      <c r="F20" s="25">
        <f>SUM(F22:F33)</f>
        <v>3473.2201299999997</v>
      </c>
      <c r="G20" s="25">
        <f>SUM(G22:G33)</f>
        <v>0</v>
      </c>
      <c r="H20" s="21">
        <f t="shared" si="1"/>
        <v>3473.2201299999997</v>
      </c>
      <c r="I20" s="25">
        <f>SUM(I22:I33)</f>
        <v>146.23080999999999</v>
      </c>
      <c r="J20" s="25">
        <f>SUM(J22:J33)</f>
        <v>0</v>
      </c>
      <c r="K20" s="21">
        <f t="shared" si="2"/>
        <v>146.23080999999999</v>
      </c>
      <c r="L20" s="25">
        <f>SUM(L22:L33)</f>
        <v>4731.9660999999996</v>
      </c>
      <c r="M20" s="25">
        <f>SUM(M22:M33)</f>
        <v>0</v>
      </c>
      <c r="N20" s="21">
        <f t="shared" si="3"/>
        <v>4731.9660999999996</v>
      </c>
      <c r="O20" s="25">
        <f>SUM(O22:O33)</f>
        <v>4370.0351000000001</v>
      </c>
      <c r="P20" s="25">
        <f>SUM(P22:P33)</f>
        <v>0</v>
      </c>
      <c r="Q20" s="21">
        <f t="shared" si="4"/>
        <v>4370.0351000000001</v>
      </c>
      <c r="R20" s="22">
        <f t="shared" si="9"/>
        <v>1.1502085589047695</v>
      </c>
      <c r="S20" s="25">
        <f>SUM(S22:S33)</f>
        <v>720.33486000000005</v>
      </c>
      <c r="T20" s="25">
        <f>SUM(T22:T33)</f>
        <v>0</v>
      </c>
      <c r="U20" s="21">
        <f t="shared" si="5"/>
        <v>720.33486000000005</v>
      </c>
      <c r="V20" s="25">
        <f>SUM(V22:V33)</f>
        <v>85</v>
      </c>
      <c r="W20" s="25">
        <f>SUM(W22:W33)</f>
        <v>0</v>
      </c>
      <c r="X20" s="21">
        <f t="shared" si="6"/>
        <v>85</v>
      </c>
      <c r="Y20" s="25">
        <f>SUM(Y22:Y33)</f>
        <v>835</v>
      </c>
      <c r="Z20" s="25">
        <f>SUM(Z22:Z33)</f>
        <v>0</v>
      </c>
      <c r="AA20" s="21">
        <f t="shared" si="7"/>
        <v>835</v>
      </c>
      <c r="AB20" s="22">
        <f t="shared" si="8"/>
        <v>0.21977492736511031</v>
      </c>
    </row>
    <row r="21" spans="1:28" ht="12.75">
      <c r="A21" s="23"/>
      <c r="B21" s="24" t="s">
        <v>26</v>
      </c>
      <c r="C21" s="26"/>
      <c r="D21" s="26"/>
      <c r="E21" s="21"/>
      <c r="F21" s="26"/>
      <c r="G21" s="26"/>
      <c r="H21" s="21"/>
      <c r="I21" s="26"/>
      <c r="J21" s="26"/>
      <c r="K21" s="21"/>
      <c r="L21" s="26"/>
      <c r="M21" s="26"/>
      <c r="N21" s="21"/>
      <c r="O21" s="26"/>
      <c r="P21" s="26"/>
      <c r="Q21" s="21"/>
      <c r="R21" s="22"/>
      <c r="S21" s="26"/>
      <c r="T21" s="26"/>
      <c r="U21" s="21"/>
      <c r="V21" s="26"/>
      <c r="W21" s="26"/>
      <c r="X21" s="21"/>
      <c r="Y21" s="26"/>
      <c r="Z21" s="26"/>
      <c r="AA21" s="21"/>
      <c r="AB21" s="22"/>
    </row>
    <row r="22" spans="1:28" ht="38.25">
      <c r="A22" s="23" t="s">
        <v>27</v>
      </c>
      <c r="B22" s="31" t="s">
        <v>45</v>
      </c>
      <c r="C22" s="26"/>
      <c r="D22" s="26"/>
      <c r="E22" s="21">
        <f t="shared" si="0"/>
        <v>0</v>
      </c>
      <c r="F22" s="26"/>
      <c r="G22" s="26"/>
      <c r="H22" s="21">
        <f t="shared" si="1"/>
        <v>0</v>
      </c>
      <c r="I22" s="26"/>
      <c r="J22" s="26"/>
      <c r="K22" s="21">
        <f t="shared" si="2"/>
        <v>0</v>
      </c>
      <c r="L22" s="26"/>
      <c r="M22" s="26"/>
      <c r="N22" s="21">
        <f t="shared" si="3"/>
        <v>0</v>
      </c>
      <c r="O22" s="26"/>
      <c r="P22" s="26"/>
      <c r="Q22" s="21">
        <f t="shared" si="4"/>
        <v>0</v>
      </c>
      <c r="R22" s="22" t="e">
        <f t="shared" si="9"/>
        <v>#DIV/0!</v>
      </c>
      <c r="S22" s="26"/>
      <c r="T22" s="26"/>
      <c r="U22" s="21">
        <f t="shared" si="5"/>
        <v>0</v>
      </c>
      <c r="V22" s="26"/>
      <c r="W22" s="26"/>
      <c r="X22" s="21">
        <f t="shared" si="6"/>
        <v>0</v>
      </c>
      <c r="Y22" s="26"/>
      <c r="Z22" s="26"/>
      <c r="AA22" s="21">
        <f t="shared" si="7"/>
        <v>0</v>
      </c>
      <c r="AB22" s="22" t="e">
        <f t="shared" si="8"/>
        <v>#DIV/0!</v>
      </c>
    </row>
    <row r="23" spans="1:28" ht="25.5">
      <c r="A23" s="23" t="s">
        <v>29</v>
      </c>
      <c r="B23" s="31" t="s">
        <v>46</v>
      </c>
      <c r="C23" s="26"/>
      <c r="D23" s="26"/>
      <c r="E23" s="21">
        <f>C23-D23</f>
        <v>0</v>
      </c>
      <c r="F23" s="26"/>
      <c r="G23" s="26"/>
      <c r="H23" s="21">
        <f t="shared" si="1"/>
        <v>0</v>
      </c>
      <c r="I23" s="26"/>
      <c r="J23" s="26"/>
      <c r="K23" s="21">
        <f t="shared" si="2"/>
        <v>0</v>
      </c>
      <c r="L23" s="26"/>
      <c r="M23" s="26"/>
      <c r="N23" s="21">
        <f t="shared" si="3"/>
        <v>0</v>
      </c>
      <c r="O23" s="26"/>
      <c r="P23" s="26"/>
      <c r="Q23" s="21">
        <f t="shared" si="4"/>
        <v>0</v>
      </c>
      <c r="R23" s="22" t="e">
        <f t="shared" si="9"/>
        <v>#DIV/0!</v>
      </c>
      <c r="S23" s="26"/>
      <c r="T23" s="26"/>
      <c r="U23" s="21">
        <f t="shared" si="5"/>
        <v>0</v>
      </c>
      <c r="V23" s="26"/>
      <c r="W23" s="26"/>
      <c r="X23" s="21">
        <f t="shared" si="6"/>
        <v>0</v>
      </c>
      <c r="Y23" s="26"/>
      <c r="Z23" s="26"/>
      <c r="AA23" s="21">
        <f>Y23-Z23</f>
        <v>0</v>
      </c>
      <c r="AB23" s="22" t="e">
        <f t="shared" si="8"/>
        <v>#DIV/0!</v>
      </c>
    </row>
    <row r="24" spans="1:28" ht="25.5">
      <c r="A24" s="23" t="s">
        <v>31</v>
      </c>
      <c r="B24" s="31" t="s">
        <v>47</v>
      </c>
      <c r="C24" s="26">
        <v>273.60171000000003</v>
      </c>
      <c r="D24" s="26"/>
      <c r="E24" s="21">
        <f>C24-D24</f>
        <v>273.60171000000003</v>
      </c>
      <c r="F24" s="26">
        <v>98.636200000000002</v>
      </c>
      <c r="G24" s="26"/>
      <c r="H24" s="21">
        <f t="shared" si="1"/>
        <v>98.636200000000002</v>
      </c>
      <c r="I24" s="26">
        <f>134.59011-F24</f>
        <v>35.953910000000008</v>
      </c>
      <c r="J24" s="26"/>
      <c r="K24" s="21">
        <f t="shared" si="2"/>
        <v>35.953910000000008</v>
      </c>
      <c r="L24" s="26">
        <v>1395</v>
      </c>
      <c r="M24" s="26"/>
      <c r="N24" s="21">
        <f t="shared" si="3"/>
        <v>1395</v>
      </c>
      <c r="O24" s="26">
        <v>1395</v>
      </c>
      <c r="P24" s="26"/>
      <c r="Q24" s="21">
        <f t="shared" si="4"/>
        <v>1395</v>
      </c>
      <c r="R24" s="22"/>
      <c r="S24" s="26">
        <v>304.50277999999997</v>
      </c>
      <c r="T24" s="26"/>
      <c r="U24" s="21">
        <f t="shared" si="5"/>
        <v>304.50277999999997</v>
      </c>
      <c r="V24" s="26">
        <v>25</v>
      </c>
      <c r="W24" s="26"/>
      <c r="X24" s="21">
        <f t="shared" si="6"/>
        <v>25</v>
      </c>
      <c r="Y24" s="26">
        <v>405</v>
      </c>
      <c r="Z24" s="26"/>
      <c r="AA24" s="21">
        <f t="shared" si="7"/>
        <v>405</v>
      </c>
      <c r="AB24" s="22"/>
    </row>
    <row r="25" spans="1:28" ht="12.75">
      <c r="A25" s="23" t="s">
        <v>37</v>
      </c>
      <c r="B25" s="31" t="s">
        <v>48</v>
      </c>
      <c r="C25" s="26"/>
      <c r="D25" s="26"/>
      <c r="E25" s="21">
        <f>C25-D25</f>
        <v>0</v>
      </c>
      <c r="F25" s="26"/>
      <c r="G25" s="26"/>
      <c r="H25" s="21">
        <f t="shared" si="1"/>
        <v>0</v>
      </c>
      <c r="I25" s="26"/>
      <c r="J25" s="26"/>
      <c r="K25" s="21">
        <f t="shared" si="2"/>
        <v>0</v>
      </c>
      <c r="L25" s="26"/>
      <c r="M25" s="26"/>
      <c r="N25" s="21">
        <f t="shared" si="3"/>
        <v>0</v>
      </c>
      <c r="O25" s="26"/>
      <c r="P25" s="26"/>
      <c r="Q25" s="21">
        <f t="shared" si="4"/>
        <v>0</v>
      </c>
      <c r="R25" s="22" t="e">
        <f t="shared" si="9"/>
        <v>#DIV/0!</v>
      </c>
      <c r="S25" s="26"/>
      <c r="T25" s="26"/>
      <c r="U25" s="21">
        <f t="shared" si="5"/>
        <v>0</v>
      </c>
      <c r="V25" s="26"/>
      <c r="W25" s="26"/>
      <c r="X25" s="21">
        <f t="shared" si="6"/>
        <v>0</v>
      </c>
      <c r="Y25" s="26"/>
      <c r="Z25" s="26"/>
      <c r="AA25" s="21">
        <f t="shared" si="7"/>
        <v>0</v>
      </c>
      <c r="AB25" s="22" t="e">
        <f t="shared" si="8"/>
        <v>#DIV/0!</v>
      </c>
    </row>
    <row r="26" spans="1:28" ht="38.25">
      <c r="A26" s="23" t="s">
        <v>39</v>
      </c>
      <c r="B26" s="31" t="s">
        <v>49</v>
      </c>
      <c r="C26" s="26">
        <v>749.75787000000003</v>
      </c>
      <c r="D26" s="26"/>
      <c r="E26" s="21">
        <f>C26-D26</f>
        <v>749.75787000000003</v>
      </c>
      <c r="F26" s="26">
        <v>600.64152000000001</v>
      </c>
      <c r="G26" s="26"/>
      <c r="H26" s="21">
        <f t="shared" si="1"/>
        <v>600.64152000000001</v>
      </c>
      <c r="I26" s="26">
        <f>708.47892-F26</f>
        <v>107.8374</v>
      </c>
      <c r="J26" s="26"/>
      <c r="K26" s="21">
        <f t="shared" si="2"/>
        <v>107.8374</v>
      </c>
      <c r="L26" s="26">
        <v>650</v>
      </c>
      <c r="M26" s="26"/>
      <c r="N26" s="21">
        <f t="shared" si="3"/>
        <v>650</v>
      </c>
      <c r="O26" s="26">
        <v>650</v>
      </c>
      <c r="P26" s="26"/>
      <c r="Q26" s="21">
        <f t="shared" si="4"/>
        <v>650</v>
      </c>
      <c r="R26" s="22"/>
      <c r="S26" s="26">
        <v>209.41307</v>
      </c>
      <c r="T26" s="26"/>
      <c r="U26" s="21">
        <f t="shared" si="5"/>
        <v>209.41307</v>
      </c>
      <c r="V26" s="26">
        <v>20</v>
      </c>
      <c r="W26" s="26"/>
      <c r="X26" s="21">
        <f t="shared" si="6"/>
        <v>20</v>
      </c>
      <c r="Y26" s="26">
        <v>250</v>
      </c>
      <c r="Z26" s="26"/>
      <c r="AA26" s="21">
        <f t="shared" si="7"/>
        <v>250</v>
      </c>
      <c r="AB26" s="22"/>
    </row>
    <row r="27" spans="1:28" ht="38.25">
      <c r="A27" s="23" t="s">
        <v>41</v>
      </c>
      <c r="B27" s="31" t="s">
        <v>50</v>
      </c>
      <c r="C27" s="26"/>
      <c r="D27" s="26"/>
      <c r="E27" s="21">
        <f>C27-D27</f>
        <v>0</v>
      </c>
      <c r="F27" s="26"/>
      <c r="G27" s="26"/>
      <c r="H27" s="21">
        <f t="shared" si="1"/>
        <v>0</v>
      </c>
      <c r="I27" s="26"/>
      <c r="J27" s="26"/>
      <c r="K27" s="21">
        <f t="shared" si="2"/>
        <v>0</v>
      </c>
      <c r="L27" s="26"/>
      <c r="M27" s="26"/>
      <c r="N27" s="21">
        <f t="shared" si="3"/>
        <v>0</v>
      </c>
      <c r="O27" s="26"/>
      <c r="P27" s="26"/>
      <c r="Q27" s="21">
        <f t="shared" si="4"/>
        <v>0</v>
      </c>
      <c r="R27" s="22"/>
      <c r="S27" s="26"/>
      <c r="T27" s="26"/>
      <c r="U27" s="21">
        <f t="shared" si="5"/>
        <v>0</v>
      </c>
      <c r="V27" s="26"/>
      <c r="W27" s="26"/>
      <c r="X27" s="21">
        <f t="shared" si="6"/>
        <v>0</v>
      </c>
      <c r="Y27" s="26"/>
      <c r="Z27" s="26"/>
      <c r="AA27" s="21">
        <f t="shared" si="7"/>
        <v>0</v>
      </c>
      <c r="AB27" s="22"/>
    </row>
    <row r="28" spans="1:28" ht="25.5">
      <c r="A28" s="23" t="s">
        <v>51</v>
      </c>
      <c r="B28" s="31" t="s">
        <v>52</v>
      </c>
      <c r="C28" s="26"/>
      <c r="D28" s="26"/>
      <c r="E28" s="21">
        <f t="shared" si="0"/>
        <v>0</v>
      </c>
      <c r="F28" s="26"/>
      <c r="G28" s="26"/>
      <c r="H28" s="21">
        <f t="shared" si="1"/>
        <v>0</v>
      </c>
      <c r="I28" s="26"/>
      <c r="J28" s="26"/>
      <c r="K28" s="21">
        <f t="shared" si="2"/>
        <v>0</v>
      </c>
      <c r="L28" s="26"/>
      <c r="M28" s="26"/>
      <c r="N28" s="21">
        <f t="shared" si="3"/>
        <v>0</v>
      </c>
      <c r="O28" s="26"/>
      <c r="P28" s="26"/>
      <c r="Q28" s="21">
        <f t="shared" si="4"/>
        <v>0</v>
      </c>
      <c r="R28" s="22" t="e">
        <f t="shared" si="9"/>
        <v>#DIV/0!</v>
      </c>
      <c r="S28" s="26"/>
      <c r="T28" s="26"/>
      <c r="U28" s="21">
        <f t="shared" si="5"/>
        <v>0</v>
      </c>
      <c r="V28" s="26"/>
      <c r="W28" s="26"/>
      <c r="X28" s="21">
        <f t="shared" si="6"/>
        <v>0</v>
      </c>
      <c r="Y28" s="26"/>
      <c r="Z28" s="26"/>
      <c r="AA28" s="21">
        <f t="shared" si="7"/>
        <v>0</v>
      </c>
      <c r="AB28" s="22" t="e">
        <f t="shared" si="8"/>
        <v>#DIV/0!</v>
      </c>
    </row>
    <row r="29" spans="1:28" ht="25.5">
      <c r="A29" s="23" t="s">
        <v>53</v>
      </c>
      <c r="B29" s="31" t="s">
        <v>54</v>
      </c>
      <c r="C29" s="26"/>
      <c r="D29" s="26"/>
      <c r="E29" s="21">
        <f t="shared" si="0"/>
        <v>0</v>
      </c>
      <c r="F29" s="26"/>
      <c r="G29" s="26"/>
      <c r="H29" s="21">
        <f t="shared" si="1"/>
        <v>0</v>
      </c>
      <c r="I29" s="26"/>
      <c r="J29" s="26"/>
      <c r="K29" s="21">
        <f t="shared" si="2"/>
        <v>0</v>
      </c>
      <c r="L29" s="26"/>
      <c r="M29" s="26"/>
      <c r="N29" s="21">
        <f t="shared" si="3"/>
        <v>0</v>
      </c>
      <c r="O29" s="26"/>
      <c r="P29" s="26"/>
      <c r="Q29" s="21">
        <f t="shared" si="4"/>
        <v>0</v>
      </c>
      <c r="R29" s="22" t="e">
        <f t="shared" si="9"/>
        <v>#DIV/0!</v>
      </c>
      <c r="S29" s="26"/>
      <c r="T29" s="26"/>
      <c r="U29" s="21">
        <f t="shared" si="5"/>
        <v>0</v>
      </c>
      <c r="V29" s="26"/>
      <c r="W29" s="26"/>
      <c r="X29" s="21">
        <f t="shared" si="6"/>
        <v>0</v>
      </c>
      <c r="Y29" s="26"/>
      <c r="Z29" s="26"/>
      <c r="AA29" s="21">
        <f t="shared" si="7"/>
        <v>0</v>
      </c>
      <c r="AB29" s="22" t="e">
        <f t="shared" si="8"/>
        <v>#DIV/0!</v>
      </c>
    </row>
    <row r="30" spans="1:28" ht="25.5">
      <c r="A30" s="23" t="s">
        <v>55</v>
      </c>
      <c r="B30" s="31" t="s">
        <v>56</v>
      </c>
      <c r="C30" s="26"/>
      <c r="D30" s="26"/>
      <c r="E30" s="21">
        <f t="shared" si="0"/>
        <v>0</v>
      </c>
      <c r="F30" s="26"/>
      <c r="G30" s="26"/>
      <c r="H30" s="21">
        <f t="shared" si="1"/>
        <v>0</v>
      </c>
      <c r="I30" s="26"/>
      <c r="J30" s="26"/>
      <c r="K30" s="21">
        <f t="shared" si="2"/>
        <v>0</v>
      </c>
      <c r="L30" s="26">
        <v>15</v>
      </c>
      <c r="M30" s="26"/>
      <c r="N30" s="21">
        <f t="shared" si="3"/>
        <v>15</v>
      </c>
      <c r="O30" s="26">
        <v>15</v>
      </c>
      <c r="P30" s="26"/>
      <c r="Q30" s="21">
        <f t="shared" si="4"/>
        <v>15</v>
      </c>
      <c r="R30" s="22" t="e">
        <f t="shared" si="9"/>
        <v>#DIV/0!</v>
      </c>
      <c r="S30" s="26">
        <v>2.8771100000000001</v>
      </c>
      <c r="T30" s="26"/>
      <c r="U30" s="21">
        <f t="shared" si="5"/>
        <v>2.8771100000000001</v>
      </c>
      <c r="V30" s="26">
        <v>0</v>
      </c>
      <c r="W30" s="26"/>
      <c r="X30" s="21">
        <f t="shared" si="6"/>
        <v>0</v>
      </c>
      <c r="Y30" s="26">
        <v>3</v>
      </c>
      <c r="Z30" s="26"/>
      <c r="AA30" s="21">
        <f t="shared" si="7"/>
        <v>3</v>
      </c>
      <c r="AB30" s="22" t="e">
        <f t="shared" si="8"/>
        <v>#DIV/0!</v>
      </c>
    </row>
    <row r="31" spans="1:28" ht="25.5">
      <c r="A31" s="23" t="s">
        <v>57</v>
      </c>
      <c r="B31" s="31" t="s">
        <v>58</v>
      </c>
      <c r="C31" s="26">
        <v>2773.7424099999998</v>
      </c>
      <c r="D31" s="26"/>
      <c r="E31" s="21">
        <f t="shared" si="0"/>
        <v>2773.7424099999998</v>
      </c>
      <c r="F31" s="26">
        <v>2773.7424099999998</v>
      </c>
      <c r="G31" s="26"/>
      <c r="H31" s="21">
        <f t="shared" si="1"/>
        <v>2773.7424099999998</v>
      </c>
      <c r="I31" s="26">
        <f>2773.74241-F31</f>
        <v>0</v>
      </c>
      <c r="J31" s="26"/>
      <c r="K31" s="21">
        <f t="shared" si="2"/>
        <v>0</v>
      </c>
      <c r="L31" s="26">
        <v>2100</v>
      </c>
      <c r="M31" s="26"/>
      <c r="N31" s="21">
        <f t="shared" si="3"/>
        <v>2100</v>
      </c>
      <c r="O31" s="26">
        <v>1739.069</v>
      </c>
      <c r="P31" s="26"/>
      <c r="Q31" s="21">
        <f t="shared" si="4"/>
        <v>1739.069</v>
      </c>
      <c r="R31" s="22">
        <f t="shared" si="9"/>
        <v>0.62697566786672165</v>
      </c>
      <c r="S31" s="26">
        <v>0</v>
      </c>
      <c r="T31" s="26"/>
      <c r="U31" s="21">
        <f t="shared" si="5"/>
        <v>0</v>
      </c>
      <c r="V31" s="26">
        <v>40</v>
      </c>
      <c r="W31" s="26"/>
      <c r="X31" s="21">
        <f t="shared" si="6"/>
        <v>40</v>
      </c>
      <c r="Y31" s="26">
        <v>100</v>
      </c>
      <c r="Z31" s="26"/>
      <c r="AA31" s="21">
        <f t="shared" si="7"/>
        <v>100</v>
      </c>
      <c r="AB31" s="22">
        <f t="shared" si="8"/>
        <v>3.605237445246403E-2</v>
      </c>
    </row>
    <row r="32" spans="1:28" ht="12.75">
      <c r="A32" s="23" t="s">
        <v>59</v>
      </c>
      <c r="B32" s="24" t="s">
        <v>60</v>
      </c>
      <c r="C32" s="26">
        <v>2.2395</v>
      </c>
      <c r="D32" s="26"/>
      <c r="E32" s="21">
        <f t="shared" si="0"/>
        <v>2.2395</v>
      </c>
      <c r="F32" s="26">
        <v>0</v>
      </c>
      <c r="G32" s="26"/>
      <c r="H32" s="21">
        <f t="shared" si="1"/>
        <v>0</v>
      </c>
      <c r="I32" s="26">
        <f>2.2395-F32</f>
        <v>2.2395</v>
      </c>
      <c r="J32" s="26"/>
      <c r="K32" s="21">
        <f t="shared" si="2"/>
        <v>2.2395</v>
      </c>
      <c r="L32" s="26">
        <v>570.96609999999998</v>
      </c>
      <c r="M32" s="26"/>
      <c r="N32" s="21">
        <f t="shared" si="3"/>
        <v>570.96609999999998</v>
      </c>
      <c r="O32" s="26">
        <v>570.96609999999998</v>
      </c>
      <c r="P32" s="26"/>
      <c r="Q32" s="21">
        <f t="shared" si="4"/>
        <v>570.96609999999998</v>
      </c>
      <c r="R32" s="22">
        <f t="shared" si="9"/>
        <v>254.95248939495423</v>
      </c>
      <c r="S32" s="26">
        <v>72.20438</v>
      </c>
      <c r="T32" s="26"/>
      <c r="U32" s="21">
        <f t="shared" si="5"/>
        <v>72.20438</v>
      </c>
      <c r="V32" s="26"/>
      <c r="W32" s="26"/>
      <c r="X32" s="21">
        <f t="shared" si="6"/>
        <v>0</v>
      </c>
      <c r="Y32" s="26">
        <v>77</v>
      </c>
      <c r="Z32" s="26"/>
      <c r="AA32" s="21">
        <f t="shared" si="7"/>
        <v>77</v>
      </c>
      <c r="AB32" s="22">
        <f t="shared" si="8"/>
        <v>34.382674704175038</v>
      </c>
    </row>
    <row r="33" spans="1:28" ht="12.75">
      <c r="A33" s="23" t="s">
        <v>61</v>
      </c>
      <c r="B33" s="24" t="s">
        <v>62</v>
      </c>
      <c r="C33" s="26">
        <v>0</v>
      </c>
      <c r="D33" s="26"/>
      <c r="E33" s="21">
        <f t="shared" si="0"/>
        <v>0</v>
      </c>
      <c r="F33" s="26">
        <v>0.2</v>
      </c>
      <c r="G33" s="26"/>
      <c r="H33" s="21">
        <f t="shared" si="1"/>
        <v>0.2</v>
      </c>
      <c r="I33" s="26">
        <f>0.4-F33</f>
        <v>0.2</v>
      </c>
      <c r="J33" s="26"/>
      <c r="K33" s="21">
        <f t="shared" si="2"/>
        <v>0.2</v>
      </c>
      <c r="L33" s="26">
        <v>1</v>
      </c>
      <c r="M33" s="26"/>
      <c r="N33" s="21">
        <f t="shared" si="3"/>
        <v>1</v>
      </c>
      <c r="O33" s="26">
        <v>0</v>
      </c>
      <c r="P33" s="26"/>
      <c r="Q33" s="21">
        <f t="shared" si="4"/>
        <v>0</v>
      </c>
      <c r="R33" s="22" t="e">
        <f t="shared" si="9"/>
        <v>#DIV/0!</v>
      </c>
      <c r="S33" s="26">
        <v>131.33752000000001</v>
      </c>
      <c r="T33" s="26"/>
      <c r="U33" s="21">
        <f t="shared" si="5"/>
        <v>131.33752000000001</v>
      </c>
      <c r="V33" s="26"/>
      <c r="W33" s="26"/>
      <c r="X33" s="21">
        <f t="shared" si="6"/>
        <v>0</v>
      </c>
      <c r="Y33" s="26">
        <f>O33</f>
        <v>0</v>
      </c>
      <c r="Z33" s="26"/>
      <c r="AA33" s="21">
        <f t="shared" si="7"/>
        <v>0</v>
      </c>
      <c r="AB33" s="22" t="e">
        <f t="shared" si="8"/>
        <v>#DIV/0!</v>
      </c>
    </row>
    <row r="34" spans="1:28" s="7" customFormat="1" ht="13.5">
      <c r="A34" s="18" t="s">
        <v>63</v>
      </c>
      <c r="B34" s="19" t="s">
        <v>64</v>
      </c>
      <c r="C34" s="32">
        <f>C35+C44+C46+C45</f>
        <v>8718.9015899999995</v>
      </c>
      <c r="D34" s="32">
        <f>D35+D44+D46+D45</f>
        <v>2002.5655899999999</v>
      </c>
      <c r="E34" s="21">
        <f t="shared" si="0"/>
        <v>6716.3359999999993</v>
      </c>
      <c r="F34" s="32">
        <f>F35+F44+F46+F45</f>
        <v>6573.6354299999994</v>
      </c>
      <c r="G34" s="32">
        <f>G35+G44+G46+G45</f>
        <v>193.11623</v>
      </c>
      <c r="H34" s="21">
        <f t="shared" si="1"/>
        <v>6380.5191999999997</v>
      </c>
      <c r="I34" s="32">
        <f>I35+I44+I46+I45</f>
        <v>1478.9759900000004</v>
      </c>
      <c r="J34" s="32">
        <f>J35+J44+J46+J45</f>
        <v>1143.1591899999999</v>
      </c>
      <c r="K34" s="21">
        <f t="shared" si="2"/>
        <v>335.81680000000051</v>
      </c>
      <c r="L34" s="32">
        <f>L35+L44+L46+L45</f>
        <v>8083.5929999999998</v>
      </c>
      <c r="M34" s="32">
        <f>M35+M44+M46+M45</f>
        <v>428.99299999999999</v>
      </c>
      <c r="N34" s="21">
        <f t="shared" si="3"/>
        <v>7654.5999999999995</v>
      </c>
      <c r="O34" s="32">
        <f>O35+O44+O46+O45</f>
        <v>18241.675350000001</v>
      </c>
      <c r="P34" s="32">
        <f>P35+P44+P46+P45</f>
        <v>10587.075350000001</v>
      </c>
      <c r="Q34" s="21">
        <f t="shared" si="4"/>
        <v>7654.6</v>
      </c>
      <c r="R34" s="22">
        <f t="shared" si="9"/>
        <v>1.1396987881487766</v>
      </c>
      <c r="S34" s="32">
        <f>S35+S44+S46+S45</f>
        <v>7340.3100300000006</v>
      </c>
      <c r="T34" s="32">
        <f>T35+T44+T46+T45</f>
        <v>781.58502999999996</v>
      </c>
      <c r="U34" s="21">
        <f t="shared" si="5"/>
        <v>6558.7250000000004</v>
      </c>
      <c r="V34" s="32">
        <f>V35+V44+V46+V45</f>
        <v>8838</v>
      </c>
      <c r="W34" s="32">
        <f>W35+W44+W46+W45</f>
        <v>8838</v>
      </c>
      <c r="X34" s="21">
        <f t="shared" si="6"/>
        <v>0</v>
      </c>
      <c r="Y34" s="32">
        <f>Y35+Y44+Y46+Y45</f>
        <v>18222.082350000001</v>
      </c>
      <c r="Z34" s="32">
        <f>Z35+Z44+Z46+Z45</f>
        <v>10587.075350000001</v>
      </c>
      <c r="AA34" s="21">
        <f t="shared" si="7"/>
        <v>7635.0069999999996</v>
      </c>
      <c r="AB34" s="22">
        <f t="shared" si="8"/>
        <v>1.1367815725717119</v>
      </c>
    </row>
    <row r="35" spans="1:28" ht="25.5">
      <c r="A35" s="23" t="s">
        <v>65</v>
      </c>
      <c r="B35" s="29" t="s">
        <v>66</v>
      </c>
      <c r="C35" s="32">
        <f>C36+C40+C42+C43</f>
        <v>8718.9015899999995</v>
      </c>
      <c r="D35" s="32">
        <f>D36+D40+D42+D43</f>
        <v>2002.5655899999999</v>
      </c>
      <c r="E35" s="21">
        <f t="shared" si="0"/>
        <v>6716.3359999999993</v>
      </c>
      <c r="F35" s="32">
        <f>F36+F40+F42+F43</f>
        <v>6573.6354299999994</v>
      </c>
      <c r="G35" s="32">
        <f>G36+G40+G42+G43</f>
        <v>193.11623</v>
      </c>
      <c r="H35" s="21">
        <f t="shared" si="1"/>
        <v>6380.5191999999997</v>
      </c>
      <c r="I35" s="32">
        <f>I36+I40+I42+I43</f>
        <v>1478.9759900000004</v>
      </c>
      <c r="J35" s="32">
        <f>J36+J40+J42+J43</f>
        <v>1143.1591899999999</v>
      </c>
      <c r="K35" s="21">
        <f t="shared" si="2"/>
        <v>335.81680000000051</v>
      </c>
      <c r="L35" s="32">
        <f>L36+L40+L42+L43</f>
        <v>8083.5929999999998</v>
      </c>
      <c r="M35" s="32">
        <f>M36+M40+M42+M43</f>
        <v>428.99299999999999</v>
      </c>
      <c r="N35" s="21">
        <f t="shared" si="3"/>
        <v>7654.5999999999995</v>
      </c>
      <c r="O35" s="32">
        <f>O36+O40+O42+O43</f>
        <v>18241.675350000001</v>
      </c>
      <c r="P35" s="32">
        <f>P36+P40+P42+P43</f>
        <v>10587.075350000001</v>
      </c>
      <c r="Q35" s="21">
        <f t="shared" si="4"/>
        <v>7654.6</v>
      </c>
      <c r="R35" s="22">
        <f t="shared" si="9"/>
        <v>1.1396987881487766</v>
      </c>
      <c r="S35" s="32">
        <f>S36+S40+S42+S43</f>
        <v>7340.3100300000006</v>
      </c>
      <c r="T35" s="32">
        <f>T36+T40+T42+T43</f>
        <v>781.58502999999996</v>
      </c>
      <c r="U35" s="21">
        <f t="shared" si="5"/>
        <v>6558.7250000000004</v>
      </c>
      <c r="V35" s="32">
        <f>V36+V40+V42+V43</f>
        <v>8838</v>
      </c>
      <c r="W35" s="32">
        <f>W36+W40+W42+W43</f>
        <v>8838</v>
      </c>
      <c r="X35" s="21">
        <f t="shared" si="6"/>
        <v>0</v>
      </c>
      <c r="Y35" s="32">
        <f>Y36+Y40+Y42+Y43</f>
        <v>18222.082350000001</v>
      </c>
      <c r="Z35" s="32">
        <f>Z36+Z40+Z42+Z43</f>
        <v>10587.075350000001</v>
      </c>
      <c r="AA35" s="21">
        <f t="shared" si="7"/>
        <v>7635.0069999999996</v>
      </c>
      <c r="AB35" s="22">
        <f t="shared" si="8"/>
        <v>1.1367815725717119</v>
      </c>
    </row>
    <row r="36" spans="1:28" s="34" customFormat="1" ht="12.75">
      <c r="A36" s="23" t="s">
        <v>27</v>
      </c>
      <c r="B36" s="29" t="s">
        <v>67</v>
      </c>
      <c r="C36" s="26">
        <f>C37+C38+C39</f>
        <v>6716.3360000000002</v>
      </c>
      <c r="D36" s="33"/>
      <c r="E36" s="21">
        <f>C36-D36</f>
        <v>6716.3360000000002</v>
      </c>
      <c r="F36" s="26">
        <f>F37+F38+F39</f>
        <v>6380.5191999999997</v>
      </c>
      <c r="G36" s="33"/>
      <c r="H36" s="21">
        <f>F36-G36</f>
        <v>6380.5191999999997</v>
      </c>
      <c r="I36" s="26">
        <f>I37+I38+I39</f>
        <v>335.81680000000051</v>
      </c>
      <c r="J36" s="33"/>
      <c r="K36" s="21">
        <f>I36-J36</f>
        <v>335.81680000000051</v>
      </c>
      <c r="L36" s="26">
        <f>L37+L38+L39</f>
        <v>7654.6</v>
      </c>
      <c r="M36" s="33"/>
      <c r="N36" s="21">
        <f>L36-M36</f>
        <v>7654.6</v>
      </c>
      <c r="O36" s="26">
        <f>O37+O38+O39</f>
        <v>7654.6</v>
      </c>
      <c r="P36" s="33"/>
      <c r="Q36" s="21">
        <f>O36-P36</f>
        <v>7654.6</v>
      </c>
      <c r="R36" s="22">
        <f t="shared" si="9"/>
        <v>1.1396987881487763</v>
      </c>
      <c r="S36" s="26">
        <f>S37+S38+S39</f>
        <v>6558.7250000000004</v>
      </c>
      <c r="T36" s="33"/>
      <c r="U36" s="21">
        <f>S36-T36</f>
        <v>6558.7250000000004</v>
      </c>
      <c r="V36" s="26">
        <v>0</v>
      </c>
      <c r="W36" s="33"/>
      <c r="X36" s="21">
        <f>V36-W36</f>
        <v>0</v>
      </c>
      <c r="Y36" s="26">
        <f>Y37+Y38+Y39</f>
        <v>7654.6</v>
      </c>
      <c r="Z36" s="33"/>
      <c r="AA36" s="21">
        <f>Y36-Z36</f>
        <v>7654.6</v>
      </c>
      <c r="AB36" s="22">
        <f t="shared" si="8"/>
        <v>1.1396987881487763</v>
      </c>
    </row>
    <row r="37" spans="1:28" s="34" customFormat="1" ht="25.5">
      <c r="A37" s="23"/>
      <c r="B37" s="29" t="s">
        <v>68</v>
      </c>
      <c r="C37" s="26">
        <v>6716.3360000000002</v>
      </c>
      <c r="D37" s="33"/>
      <c r="E37" s="21">
        <f>C37-D37</f>
        <v>6716.3360000000002</v>
      </c>
      <c r="F37" s="26">
        <v>6380.5191999999997</v>
      </c>
      <c r="G37" s="33"/>
      <c r="H37" s="21">
        <f>F37-G37</f>
        <v>6380.5191999999997</v>
      </c>
      <c r="I37" s="26">
        <f>6716.336-F37</f>
        <v>335.81680000000051</v>
      </c>
      <c r="J37" s="33"/>
      <c r="K37" s="21">
        <f t="shared" si="2"/>
        <v>335.81680000000051</v>
      </c>
      <c r="L37" s="26">
        <v>6794.5</v>
      </c>
      <c r="M37" s="33"/>
      <c r="N37" s="21">
        <f t="shared" si="3"/>
        <v>6794.5</v>
      </c>
      <c r="O37" s="26">
        <v>6794.5</v>
      </c>
      <c r="P37" s="33"/>
      <c r="Q37" s="21">
        <f t="shared" si="4"/>
        <v>6794.5</v>
      </c>
      <c r="R37" s="22">
        <f>Q37/E37</f>
        <v>1.0116378930416823</v>
      </c>
      <c r="S37" s="26">
        <v>5698.625</v>
      </c>
      <c r="T37" s="33"/>
      <c r="U37" s="21">
        <f t="shared" si="5"/>
        <v>5698.625</v>
      </c>
      <c r="V37" s="26">
        <v>1095</v>
      </c>
      <c r="W37" s="33">
        <v>0</v>
      </c>
      <c r="X37" s="21">
        <f t="shared" si="6"/>
        <v>1095</v>
      </c>
      <c r="Y37" s="26">
        <f>O37</f>
        <v>6794.5</v>
      </c>
      <c r="Z37" s="33"/>
      <c r="AA37" s="21">
        <f t="shared" si="7"/>
        <v>6794.5</v>
      </c>
      <c r="AB37" s="22">
        <f>AA37/E37</f>
        <v>1.0116378930416823</v>
      </c>
    </row>
    <row r="38" spans="1:28" s="34" customFormat="1" ht="12.75">
      <c r="A38" s="23"/>
      <c r="B38" s="29" t="s">
        <v>69</v>
      </c>
      <c r="C38" s="26"/>
      <c r="D38" s="33"/>
      <c r="E38" s="21">
        <f t="shared" si="0"/>
        <v>0</v>
      </c>
      <c r="F38" s="26"/>
      <c r="G38" s="33"/>
      <c r="H38" s="21">
        <f t="shared" si="1"/>
        <v>0</v>
      </c>
      <c r="I38" s="26"/>
      <c r="J38" s="33"/>
      <c r="K38" s="21">
        <f t="shared" si="2"/>
        <v>0</v>
      </c>
      <c r="L38" s="26">
        <v>860.1</v>
      </c>
      <c r="M38" s="33"/>
      <c r="N38" s="21">
        <f t="shared" si="3"/>
        <v>860.1</v>
      </c>
      <c r="O38" s="26">
        <v>860.1</v>
      </c>
      <c r="P38" s="33"/>
      <c r="Q38" s="21">
        <f t="shared" si="4"/>
        <v>860.1</v>
      </c>
      <c r="R38" s="22" t="e">
        <f t="shared" si="9"/>
        <v>#DIV/0!</v>
      </c>
      <c r="S38" s="26">
        <v>860.1</v>
      </c>
      <c r="T38" s="33"/>
      <c r="U38" s="21">
        <f t="shared" si="5"/>
        <v>860.1</v>
      </c>
      <c r="V38" s="26"/>
      <c r="W38" s="33"/>
      <c r="X38" s="21">
        <f t="shared" si="6"/>
        <v>0</v>
      </c>
      <c r="Y38" s="26">
        <f>O38</f>
        <v>860.1</v>
      </c>
      <c r="Z38" s="33"/>
      <c r="AA38" s="21">
        <f t="shared" si="7"/>
        <v>860.1</v>
      </c>
      <c r="AB38" s="22" t="e">
        <f t="shared" si="8"/>
        <v>#DIV/0!</v>
      </c>
    </row>
    <row r="39" spans="1:28" s="34" customFormat="1" ht="12.75">
      <c r="A39" s="23"/>
      <c r="B39" s="29" t="s">
        <v>70</v>
      </c>
      <c r="C39" s="26"/>
      <c r="D39" s="33"/>
      <c r="E39" s="21">
        <f t="shared" si="0"/>
        <v>0</v>
      </c>
      <c r="F39" s="26"/>
      <c r="G39" s="33"/>
      <c r="H39" s="21">
        <f t="shared" si="1"/>
        <v>0</v>
      </c>
      <c r="I39" s="26"/>
      <c r="J39" s="33"/>
      <c r="K39" s="21">
        <f t="shared" si="2"/>
        <v>0</v>
      </c>
      <c r="L39" s="26"/>
      <c r="M39" s="33"/>
      <c r="N39" s="21">
        <f t="shared" si="3"/>
        <v>0</v>
      </c>
      <c r="O39" s="26"/>
      <c r="P39" s="33"/>
      <c r="Q39" s="21">
        <f t="shared" si="4"/>
        <v>0</v>
      </c>
      <c r="R39" s="22" t="e">
        <f t="shared" si="9"/>
        <v>#DIV/0!</v>
      </c>
      <c r="S39" s="26"/>
      <c r="T39" s="33"/>
      <c r="U39" s="21">
        <f t="shared" si="5"/>
        <v>0</v>
      </c>
      <c r="V39" s="26"/>
      <c r="W39" s="33"/>
      <c r="X39" s="21">
        <f t="shared" si="6"/>
        <v>0</v>
      </c>
      <c r="Y39" s="26"/>
      <c r="Z39" s="33"/>
      <c r="AA39" s="21">
        <f t="shared" si="7"/>
        <v>0</v>
      </c>
      <c r="AB39" s="22" t="e">
        <f t="shared" si="8"/>
        <v>#DIV/0!</v>
      </c>
    </row>
    <row r="40" spans="1:28" s="34" customFormat="1" ht="12.75">
      <c r="A40" s="23" t="s">
        <v>29</v>
      </c>
      <c r="B40" s="29" t="s">
        <v>71</v>
      </c>
      <c r="C40" s="26">
        <v>1625.4720299999999</v>
      </c>
      <c r="D40" s="33">
        <f>C40</f>
        <v>1625.4720299999999</v>
      </c>
      <c r="E40" s="21">
        <f t="shared" si="0"/>
        <v>0</v>
      </c>
      <c r="F40" s="26">
        <v>5.7</v>
      </c>
      <c r="G40" s="33">
        <f>F40</f>
        <v>5.7</v>
      </c>
      <c r="H40" s="21">
        <f t="shared" si="1"/>
        <v>0</v>
      </c>
      <c r="I40" s="26">
        <f>1030.84007-F40</f>
        <v>1025.1400699999999</v>
      </c>
      <c r="J40" s="33">
        <f>I40</f>
        <v>1025.1400699999999</v>
      </c>
      <c r="K40" s="21">
        <f t="shared" si="2"/>
        <v>0</v>
      </c>
      <c r="L40" s="26">
        <v>11.4</v>
      </c>
      <c r="M40" s="26">
        <v>11.4</v>
      </c>
      <c r="N40" s="21">
        <f t="shared" si="3"/>
        <v>0</v>
      </c>
      <c r="O40" s="26">
        <v>10166.48235</v>
      </c>
      <c r="P40" s="33">
        <f>O40</f>
        <v>10166.48235</v>
      </c>
      <c r="Q40" s="21">
        <f t="shared" si="4"/>
        <v>0</v>
      </c>
      <c r="R40" s="22" t="e">
        <f t="shared" si="9"/>
        <v>#DIV/0!</v>
      </c>
      <c r="S40" s="26">
        <v>503.97699999999998</v>
      </c>
      <c r="T40" s="33">
        <f>S40</f>
        <v>503.97699999999998</v>
      </c>
      <c r="U40" s="21">
        <f t="shared" si="5"/>
        <v>0</v>
      </c>
      <c r="V40" s="26">
        <v>8735</v>
      </c>
      <c r="W40" s="33">
        <v>8735</v>
      </c>
      <c r="X40" s="21">
        <f t="shared" si="6"/>
        <v>0</v>
      </c>
      <c r="Y40" s="26">
        <f>O40</f>
        <v>10166.48235</v>
      </c>
      <c r="Z40" s="26">
        <f>P40</f>
        <v>10166.48235</v>
      </c>
      <c r="AA40" s="21">
        <f t="shared" si="7"/>
        <v>0</v>
      </c>
      <c r="AB40" s="22" t="e">
        <f t="shared" si="8"/>
        <v>#DIV/0!</v>
      </c>
    </row>
    <row r="41" spans="1:28" s="34" customFormat="1" ht="12.75">
      <c r="A41" s="23"/>
      <c r="B41" s="29" t="s">
        <v>72</v>
      </c>
      <c r="C41" s="26"/>
      <c r="D41" s="33"/>
      <c r="E41" s="21">
        <f t="shared" si="0"/>
        <v>0</v>
      </c>
      <c r="F41" s="26"/>
      <c r="G41" s="33"/>
      <c r="H41" s="21">
        <f t="shared" si="1"/>
        <v>0</v>
      </c>
      <c r="I41" s="26"/>
      <c r="J41" s="33"/>
      <c r="K41" s="21">
        <f t="shared" si="2"/>
        <v>0</v>
      </c>
      <c r="L41" s="26"/>
      <c r="M41" s="33"/>
      <c r="N41" s="21">
        <f t="shared" si="3"/>
        <v>0</v>
      </c>
      <c r="O41" s="26"/>
      <c r="P41" s="33"/>
      <c r="Q41" s="21">
        <f t="shared" si="4"/>
        <v>0</v>
      </c>
      <c r="R41" s="22" t="e">
        <f t="shared" si="9"/>
        <v>#DIV/0!</v>
      </c>
      <c r="S41" s="26"/>
      <c r="T41" s="33"/>
      <c r="U41" s="21">
        <f t="shared" si="5"/>
        <v>0</v>
      </c>
      <c r="V41" s="26"/>
      <c r="W41" s="33"/>
      <c r="X41" s="21">
        <f t="shared" si="6"/>
        <v>0</v>
      </c>
      <c r="Y41" s="26"/>
      <c r="Z41" s="33"/>
      <c r="AA41" s="21">
        <f t="shared" si="7"/>
        <v>0</v>
      </c>
      <c r="AB41" s="22" t="e">
        <f t="shared" si="8"/>
        <v>#DIV/0!</v>
      </c>
    </row>
    <row r="42" spans="1:28" s="34" customFormat="1" ht="12.75">
      <c r="A42" s="23" t="s">
        <v>31</v>
      </c>
      <c r="B42" s="29" t="s">
        <v>73</v>
      </c>
      <c r="C42" s="26">
        <v>377.09356000000002</v>
      </c>
      <c r="D42" s="33">
        <f>C42</f>
        <v>377.09356000000002</v>
      </c>
      <c r="E42" s="21">
        <f t="shared" si="0"/>
        <v>0</v>
      </c>
      <c r="F42" s="26">
        <v>187.41623000000001</v>
      </c>
      <c r="G42" s="33">
        <f>F42</f>
        <v>187.41623000000001</v>
      </c>
      <c r="H42" s="21">
        <f t="shared" si="1"/>
        <v>0</v>
      </c>
      <c r="I42" s="26">
        <f>305.43535-F42</f>
        <v>118.01912000000002</v>
      </c>
      <c r="J42" s="33">
        <f>I42</f>
        <v>118.01912000000002</v>
      </c>
      <c r="K42" s="21">
        <f t="shared" si="2"/>
        <v>0</v>
      </c>
      <c r="L42" s="26">
        <v>417.59300000000002</v>
      </c>
      <c r="M42" s="26">
        <v>417.59300000000002</v>
      </c>
      <c r="N42" s="21">
        <f t="shared" si="3"/>
        <v>0</v>
      </c>
      <c r="O42" s="26">
        <v>420.59300000000002</v>
      </c>
      <c r="P42" s="33">
        <f>O42</f>
        <v>420.59300000000002</v>
      </c>
      <c r="Q42" s="21">
        <f t="shared" si="4"/>
        <v>0</v>
      </c>
      <c r="R42" s="22" t="e">
        <f t="shared" si="9"/>
        <v>#DIV/0!</v>
      </c>
      <c r="S42" s="26">
        <v>277.60802999999999</v>
      </c>
      <c r="T42" s="33">
        <f>S42</f>
        <v>277.60802999999999</v>
      </c>
      <c r="U42" s="21">
        <f t="shared" si="5"/>
        <v>0</v>
      </c>
      <c r="V42" s="26">
        <v>103</v>
      </c>
      <c r="W42" s="33">
        <f>V42</f>
        <v>103</v>
      </c>
      <c r="X42" s="21">
        <f t="shared" si="6"/>
        <v>0</v>
      </c>
      <c r="Y42" s="26">
        <v>401</v>
      </c>
      <c r="Z42" s="26">
        <f>P42</f>
        <v>420.59300000000002</v>
      </c>
      <c r="AA42" s="21">
        <f t="shared" si="7"/>
        <v>-19.593000000000018</v>
      </c>
      <c r="AB42" s="22" t="e">
        <f t="shared" si="8"/>
        <v>#DIV/0!</v>
      </c>
    </row>
    <row r="43" spans="1:28" s="34" customFormat="1" ht="12.75">
      <c r="A43" s="23" t="s">
        <v>37</v>
      </c>
      <c r="B43" s="29" t="s">
        <v>74</v>
      </c>
      <c r="C43" s="26"/>
      <c r="D43" s="33"/>
      <c r="E43" s="21">
        <f t="shared" si="0"/>
        <v>0</v>
      </c>
      <c r="F43" s="26"/>
      <c r="G43" s="33"/>
      <c r="H43" s="21">
        <f t="shared" si="1"/>
        <v>0</v>
      </c>
      <c r="I43" s="26"/>
      <c r="J43" s="33"/>
      <c r="K43" s="21">
        <f t="shared" si="2"/>
        <v>0</v>
      </c>
      <c r="L43" s="26"/>
      <c r="M43" s="33"/>
      <c r="N43" s="21">
        <f t="shared" si="3"/>
        <v>0</v>
      </c>
      <c r="O43" s="26"/>
      <c r="P43" s="33"/>
      <c r="Q43" s="21">
        <f t="shared" si="4"/>
        <v>0</v>
      </c>
      <c r="R43" s="22" t="e">
        <f t="shared" si="9"/>
        <v>#DIV/0!</v>
      </c>
      <c r="S43" s="26"/>
      <c r="T43" s="33"/>
      <c r="U43" s="21">
        <f t="shared" si="5"/>
        <v>0</v>
      </c>
      <c r="V43" s="26"/>
      <c r="W43" s="33"/>
      <c r="X43" s="21">
        <f t="shared" si="6"/>
        <v>0</v>
      </c>
      <c r="Y43" s="26"/>
      <c r="Z43" s="33"/>
      <c r="AA43" s="21">
        <f t="shared" si="7"/>
        <v>0</v>
      </c>
      <c r="AB43" s="22" t="e">
        <f t="shared" si="8"/>
        <v>#DIV/0!</v>
      </c>
    </row>
    <row r="44" spans="1:28" ht="12.75">
      <c r="A44" s="23" t="s">
        <v>75</v>
      </c>
      <c r="B44" s="29" t="s">
        <v>76</v>
      </c>
      <c r="C44" s="26"/>
      <c r="D44" s="26"/>
      <c r="E44" s="21">
        <f>C44-D44</f>
        <v>0</v>
      </c>
      <c r="F44" s="26"/>
      <c r="G44" s="26"/>
      <c r="H44" s="21">
        <f t="shared" si="1"/>
        <v>0</v>
      </c>
      <c r="I44" s="26"/>
      <c r="J44" s="26"/>
      <c r="K44" s="21">
        <f t="shared" si="2"/>
        <v>0</v>
      </c>
      <c r="L44" s="26"/>
      <c r="M44" s="26"/>
      <c r="N44" s="21">
        <f t="shared" si="3"/>
        <v>0</v>
      </c>
      <c r="O44" s="26"/>
      <c r="P44" s="26"/>
      <c r="Q44" s="21">
        <f t="shared" si="4"/>
        <v>0</v>
      </c>
      <c r="R44" s="22" t="e">
        <f t="shared" si="9"/>
        <v>#DIV/0!</v>
      </c>
      <c r="S44" s="26"/>
      <c r="T44" s="26"/>
      <c r="U44" s="21">
        <f t="shared" si="5"/>
        <v>0</v>
      </c>
      <c r="V44" s="26"/>
      <c r="W44" s="26"/>
      <c r="X44" s="21">
        <f t="shared" si="6"/>
        <v>0</v>
      </c>
      <c r="Y44" s="26"/>
      <c r="Z44" s="26"/>
      <c r="AA44" s="21">
        <f t="shared" si="7"/>
        <v>0</v>
      </c>
      <c r="AB44" s="22" t="e">
        <f t="shared" si="8"/>
        <v>#DIV/0!</v>
      </c>
    </row>
    <row r="45" spans="1:28" ht="63.75">
      <c r="A45" s="23" t="s">
        <v>77</v>
      </c>
      <c r="B45" s="29" t="s">
        <v>78</v>
      </c>
      <c r="C45" s="26"/>
      <c r="D45" s="26"/>
      <c r="E45" s="21">
        <f>C45-D45</f>
        <v>0</v>
      </c>
      <c r="F45" s="26"/>
      <c r="G45" s="26"/>
      <c r="H45" s="21">
        <f t="shared" si="1"/>
        <v>0</v>
      </c>
      <c r="I45" s="26"/>
      <c r="J45" s="26"/>
      <c r="K45" s="21">
        <f t="shared" si="2"/>
        <v>0</v>
      </c>
      <c r="L45" s="26"/>
      <c r="M45" s="26"/>
      <c r="N45" s="21">
        <f t="shared" si="3"/>
        <v>0</v>
      </c>
      <c r="O45" s="26"/>
      <c r="P45" s="26"/>
      <c r="Q45" s="21">
        <f t="shared" si="4"/>
        <v>0</v>
      </c>
      <c r="R45" s="22" t="e">
        <f t="shared" si="9"/>
        <v>#DIV/0!</v>
      </c>
      <c r="S45" s="26"/>
      <c r="T45" s="26"/>
      <c r="U45" s="21">
        <f t="shared" si="5"/>
        <v>0</v>
      </c>
      <c r="V45" s="26"/>
      <c r="W45" s="26"/>
      <c r="X45" s="21">
        <f t="shared" si="6"/>
        <v>0</v>
      </c>
      <c r="Y45" s="26"/>
      <c r="Z45" s="26"/>
      <c r="AA45" s="21">
        <f t="shared" si="7"/>
        <v>0</v>
      </c>
      <c r="AB45" s="22" t="e">
        <f t="shared" si="8"/>
        <v>#DIV/0!</v>
      </c>
    </row>
    <row r="46" spans="1:28" ht="38.25">
      <c r="A46" s="23" t="s">
        <v>79</v>
      </c>
      <c r="B46" s="29" t="s">
        <v>80</v>
      </c>
      <c r="C46" s="26"/>
      <c r="D46" s="26"/>
      <c r="E46" s="21">
        <f t="shared" si="0"/>
        <v>0</v>
      </c>
      <c r="F46" s="26"/>
      <c r="G46" s="26"/>
      <c r="H46" s="21">
        <f t="shared" si="1"/>
        <v>0</v>
      </c>
      <c r="I46" s="26"/>
      <c r="J46" s="26"/>
      <c r="K46" s="21">
        <f t="shared" si="2"/>
        <v>0</v>
      </c>
      <c r="L46" s="26"/>
      <c r="M46" s="26"/>
      <c r="N46" s="21">
        <f t="shared" si="3"/>
        <v>0</v>
      </c>
      <c r="O46" s="26"/>
      <c r="P46" s="26"/>
      <c r="Q46" s="21">
        <f t="shared" si="4"/>
        <v>0</v>
      </c>
      <c r="R46" s="22" t="e">
        <f t="shared" si="9"/>
        <v>#DIV/0!</v>
      </c>
      <c r="S46" s="26"/>
      <c r="T46" s="26"/>
      <c r="U46" s="21">
        <f t="shared" si="5"/>
        <v>0</v>
      </c>
      <c r="V46" s="26"/>
      <c r="W46" s="26"/>
      <c r="X46" s="21">
        <f t="shared" si="6"/>
        <v>0</v>
      </c>
      <c r="Y46" s="26"/>
      <c r="Z46" s="26"/>
      <c r="AA46" s="21">
        <f t="shared" si="7"/>
        <v>0</v>
      </c>
      <c r="AB46" s="22" t="e">
        <f t="shared" si="8"/>
        <v>#DIV/0!</v>
      </c>
    </row>
    <row r="47" spans="1:28" s="37" customFormat="1" ht="12.75">
      <c r="A47" s="35"/>
      <c r="B47" s="36" t="s">
        <v>81</v>
      </c>
      <c r="C47" s="21">
        <f t="shared" ref="C47:Q47" si="10">C6</f>
        <v>56449.060340000004</v>
      </c>
      <c r="D47" s="21">
        <f t="shared" si="10"/>
        <v>2002.5655899999999</v>
      </c>
      <c r="E47" s="21">
        <f t="shared" si="10"/>
        <v>54446.494750000005</v>
      </c>
      <c r="F47" s="21">
        <f t="shared" si="10"/>
        <v>41825.206100000003</v>
      </c>
      <c r="G47" s="21">
        <f t="shared" si="10"/>
        <v>193.11623</v>
      </c>
      <c r="H47" s="21">
        <f t="shared" si="10"/>
        <v>41632.089870000003</v>
      </c>
      <c r="I47" s="21">
        <f t="shared" si="10"/>
        <v>4919.9771400000009</v>
      </c>
      <c r="J47" s="21">
        <f t="shared" si="10"/>
        <v>1143.1591899999999</v>
      </c>
      <c r="K47" s="21">
        <f t="shared" si="10"/>
        <v>3776.817950000001</v>
      </c>
      <c r="L47" s="21">
        <f t="shared" si="10"/>
        <v>54423.443999999996</v>
      </c>
      <c r="M47" s="21">
        <f t="shared" si="10"/>
        <v>428.99299999999999</v>
      </c>
      <c r="N47" s="21">
        <f t="shared" si="10"/>
        <v>53994.450999999994</v>
      </c>
      <c r="O47" s="21">
        <f t="shared" si="10"/>
        <v>74220.595350000003</v>
      </c>
      <c r="P47" s="21">
        <f t="shared" si="10"/>
        <v>10587.075350000001</v>
      </c>
      <c r="Q47" s="21">
        <f t="shared" si="10"/>
        <v>63633.520000000004</v>
      </c>
      <c r="R47" s="22">
        <f t="shared" si="9"/>
        <v>1.1687349257685684</v>
      </c>
      <c r="S47" s="21">
        <f t="shared" ref="S47:Z47" si="11">S6</f>
        <v>47785.792679999999</v>
      </c>
      <c r="T47" s="21">
        <f t="shared" si="11"/>
        <v>781.58502999999996</v>
      </c>
      <c r="U47" s="21">
        <f t="shared" si="11"/>
        <v>47004.207649999997</v>
      </c>
      <c r="V47" s="21">
        <f t="shared" si="11"/>
        <v>13630</v>
      </c>
      <c r="W47" s="21">
        <f t="shared" si="11"/>
        <v>8838</v>
      </c>
      <c r="X47" s="21">
        <f t="shared" si="11"/>
        <v>4792</v>
      </c>
      <c r="Y47" s="21">
        <f t="shared" si="11"/>
        <v>70542.967250000002</v>
      </c>
      <c r="Z47" s="21">
        <f t="shared" si="11"/>
        <v>10587.075350000001</v>
      </c>
      <c r="AA47" s="21">
        <f>AA6</f>
        <v>59955.891900000002</v>
      </c>
      <c r="AB47" s="22">
        <f t="shared" si="8"/>
        <v>1.1011891982265762</v>
      </c>
    </row>
    <row r="48" spans="1:28" s="43" customFormat="1" ht="12.75">
      <c r="A48" s="38" t="s">
        <v>82</v>
      </c>
      <c r="B48" s="39" t="s">
        <v>83</v>
      </c>
      <c r="C48" s="40">
        <f>C49+C75</f>
        <v>57817.820950000001</v>
      </c>
      <c r="D48" s="40">
        <f>D49+D75</f>
        <v>2002.5655899999999</v>
      </c>
      <c r="E48" s="41">
        <f>C48-D48</f>
        <v>55815.255360000003</v>
      </c>
      <c r="F48" s="40">
        <f>F49+F75</f>
        <v>47187.760520000011</v>
      </c>
      <c r="G48" s="40">
        <f>G49+G75</f>
        <v>188.30587</v>
      </c>
      <c r="H48" s="41">
        <f>F48-G48</f>
        <v>46999.454650000014</v>
      </c>
      <c r="I48" s="40">
        <f>I49+I75</f>
        <v>3979.0051700000022</v>
      </c>
      <c r="J48" s="40">
        <f>J49+J75</f>
        <v>2151.8595399999999</v>
      </c>
      <c r="K48" s="41">
        <f>I48-J48</f>
        <v>1827.1456300000023</v>
      </c>
      <c r="L48" s="40">
        <f>L49+L75</f>
        <v>59057.429119999993</v>
      </c>
      <c r="M48" s="40">
        <f>M49+M75</f>
        <v>428.99300000000005</v>
      </c>
      <c r="N48" s="41">
        <f>L48-M48</f>
        <v>58628.436119999991</v>
      </c>
      <c r="O48" s="40">
        <f>O49+O75</f>
        <v>81701.000149999993</v>
      </c>
      <c r="P48" s="40">
        <f>P49+P75</f>
        <v>10587.075350000001</v>
      </c>
      <c r="Q48" s="41">
        <f>O48-P48</f>
        <v>71113.924799999993</v>
      </c>
      <c r="R48" s="42">
        <f>Q48/E48</f>
        <v>1.2740947674847294</v>
      </c>
      <c r="S48" s="40">
        <f>S49+S75</f>
        <v>52043.604910000002</v>
      </c>
      <c r="T48" s="40">
        <f>T49+T75</f>
        <v>582.63415999999995</v>
      </c>
      <c r="U48" s="41">
        <f>S48-T48</f>
        <v>51460.97075</v>
      </c>
      <c r="V48" s="40">
        <f>V49+V75</f>
        <v>16530</v>
      </c>
      <c r="W48" s="40">
        <f>W49+W75</f>
        <v>8412</v>
      </c>
      <c r="X48" s="41">
        <f>V48-W48</f>
        <v>8118</v>
      </c>
      <c r="Y48" s="40">
        <f>Y49+Y75</f>
        <v>78200.510899999994</v>
      </c>
      <c r="Z48" s="40">
        <f>Z49+Z75</f>
        <v>10587.075350000001</v>
      </c>
      <c r="AA48" s="41">
        <f>Y48-Z48</f>
        <v>67613.435549999995</v>
      </c>
      <c r="AB48" s="42">
        <f t="shared" si="8"/>
        <v>1.211379131276987</v>
      </c>
    </row>
    <row r="49" spans="1:28" s="34" customFormat="1" ht="12.75">
      <c r="A49" s="44">
        <v>1</v>
      </c>
      <c r="B49" s="45" t="s">
        <v>84</v>
      </c>
      <c r="C49" s="46">
        <f>C50+C54+C55+C56+C57+C58+C68+C69</f>
        <v>45897.144540000001</v>
      </c>
      <c r="D49" s="46">
        <f>D50+D54+D55+D56+D57+D58+D68+D69</f>
        <v>2002.5655899999999</v>
      </c>
      <c r="E49" s="32">
        <f>C49-D49</f>
        <v>43894.578950000003</v>
      </c>
      <c r="F49" s="46">
        <f>F50+F54+F55+F56+F57+F58+F68+F69</f>
        <v>33074.207980000007</v>
      </c>
      <c r="G49" s="46">
        <f>G50+G54+G55+G56+G57+G58+G68+G69</f>
        <v>182.90586999999999</v>
      </c>
      <c r="H49" s="32">
        <f>F49-G49</f>
        <v>32891.302110000004</v>
      </c>
      <c r="I49" s="46">
        <f>I50+I54+I55+I56+I57+I58+I68+I69</f>
        <v>2851.1749600000021</v>
      </c>
      <c r="J49" s="46">
        <f>J50+J54+J55+J56+J57+J58+J68+J69</f>
        <v>2148.8595399999999</v>
      </c>
      <c r="K49" s="32">
        <f>I49-J49</f>
        <v>702.31542000000218</v>
      </c>
      <c r="L49" s="46">
        <f>L50+L54+L55+L56+L57+L58+L68+L69</f>
        <v>51786.221119999995</v>
      </c>
      <c r="M49" s="46">
        <f>M50+M54+M55+M56+M57+M58+M68+M69</f>
        <v>428.99300000000005</v>
      </c>
      <c r="N49" s="32">
        <f>L49-M49</f>
        <v>51357.228119999992</v>
      </c>
      <c r="O49" s="46">
        <f>O50+O54+O55+O56+O57+O58+O68+O69</f>
        <v>51783.87814999999</v>
      </c>
      <c r="P49" s="46">
        <f>P50+P54+P55+P56+P57+P58+P68+P69</f>
        <v>10575.675350000001</v>
      </c>
      <c r="Q49" s="32">
        <f>O49-P49</f>
        <v>41208.202799999985</v>
      </c>
      <c r="R49" s="47">
        <f>Q49/E49</f>
        <v>0.9387993639702058</v>
      </c>
      <c r="S49" s="46">
        <f>S50+S54+S55+S56+S57+S58+S68+S69</f>
        <v>36844.453220000003</v>
      </c>
      <c r="T49" s="46">
        <f>T50+T54+T55+T56+T57+T58+T68+T69</f>
        <v>580.36915999999997</v>
      </c>
      <c r="U49" s="32">
        <f>S49-T49</f>
        <v>36264.084060000001</v>
      </c>
      <c r="V49" s="46">
        <f>V50+V54+V55+V56+V57+V58+V68+V69</f>
        <v>5410</v>
      </c>
      <c r="W49" s="46">
        <f>W50+W54+W55+W56+W57+W58+W68+W69</f>
        <v>8412</v>
      </c>
      <c r="X49" s="32">
        <f>V49-W49</f>
        <v>-3002</v>
      </c>
      <c r="Y49" s="46">
        <f>Y50+Y54+Y55+Y56+Y57+Y58+Y68+Y69</f>
        <v>48283.388899999991</v>
      </c>
      <c r="Z49" s="46">
        <f>Z50+Z54+Z55+Z56+Z57+Z58+Z68+Z69</f>
        <v>10575.675350000001</v>
      </c>
      <c r="AA49" s="32">
        <f>Y49-Z49</f>
        <v>37707.713549999986</v>
      </c>
      <c r="AB49" s="47">
        <f t="shared" si="8"/>
        <v>0.85905172009857</v>
      </c>
    </row>
    <row r="50" spans="1:28" s="49" customFormat="1" ht="38.25">
      <c r="A50" s="48" t="s">
        <v>22</v>
      </c>
      <c r="B50" s="31" t="s">
        <v>85</v>
      </c>
      <c r="C50" s="27">
        <f>14045.91452</f>
        <v>14045.91452</v>
      </c>
      <c r="D50" s="27">
        <v>165.00162</v>
      </c>
      <c r="E50" s="32">
        <f t="shared" si="0"/>
        <v>13880.912899999999</v>
      </c>
      <c r="F50" s="27">
        <v>11832.18828</v>
      </c>
      <c r="G50" s="27">
        <v>118.96759</v>
      </c>
      <c r="H50" s="32">
        <f t="shared" ref="H50:H89" si="12">F50-G50</f>
        <v>11713.22069</v>
      </c>
      <c r="I50" s="27">
        <f>12940.33063-F50</f>
        <v>1108.1423500000001</v>
      </c>
      <c r="J50" s="27">
        <f>J52</f>
        <v>1014.50035</v>
      </c>
      <c r="K50" s="32">
        <f>I50-J50</f>
        <v>93.642000000000053</v>
      </c>
      <c r="L50" s="27">
        <f>13531.473+140</f>
        <v>13671.473</v>
      </c>
      <c r="M50" s="27">
        <v>181.02</v>
      </c>
      <c r="N50" s="32">
        <f t="shared" ref="N50:N89" si="13">L50-M50</f>
        <v>13490.453</v>
      </c>
      <c r="O50" s="27">
        <v>15130.473</v>
      </c>
      <c r="P50" s="27">
        <v>184.02</v>
      </c>
      <c r="Q50" s="32">
        <f t="shared" ref="Q50:Q89" si="14">O50-P50</f>
        <v>14946.453</v>
      </c>
      <c r="R50" s="47">
        <f>Q50/E50</f>
        <v>1.0767629699628762</v>
      </c>
      <c r="S50" s="27">
        <v>11989.387989999999</v>
      </c>
      <c r="T50" s="27">
        <f>T52+T53</f>
        <v>106.29626</v>
      </c>
      <c r="U50" s="32">
        <f t="shared" ref="U50:U89" si="15">S50-T50</f>
        <v>11883.09173</v>
      </c>
      <c r="V50" s="27">
        <v>780</v>
      </c>
      <c r="W50" s="27">
        <v>10</v>
      </c>
      <c r="X50" s="32">
        <f t="shared" ref="X50:X89" si="16">V50-W50</f>
        <v>770</v>
      </c>
      <c r="Y50" s="27">
        <f>O50</f>
        <v>15130.473</v>
      </c>
      <c r="Z50" s="27">
        <f>P50</f>
        <v>184.02</v>
      </c>
      <c r="AA50" s="32">
        <f t="shared" ref="AA50:AA84" si="17">Y50-Z50</f>
        <v>14946.453</v>
      </c>
      <c r="AB50" s="47">
        <f t="shared" si="8"/>
        <v>1.0767629699628762</v>
      </c>
    </row>
    <row r="51" spans="1:28" s="49" customFormat="1" ht="12.75">
      <c r="A51" s="48"/>
      <c r="B51" s="31" t="s">
        <v>26</v>
      </c>
      <c r="C51" s="27"/>
      <c r="D51" s="27"/>
      <c r="E51" s="32"/>
      <c r="F51" s="27"/>
      <c r="G51" s="27"/>
      <c r="H51" s="32"/>
      <c r="I51" s="27"/>
      <c r="J51" s="27"/>
      <c r="K51" s="32"/>
      <c r="L51" s="27"/>
      <c r="M51" s="27"/>
      <c r="N51" s="32"/>
      <c r="O51" s="27"/>
      <c r="P51" s="27"/>
      <c r="Q51" s="32"/>
      <c r="R51" s="47"/>
      <c r="S51" s="27"/>
      <c r="T51" s="27"/>
      <c r="U51" s="32"/>
      <c r="V51" s="27"/>
      <c r="W51" s="27"/>
      <c r="X51" s="32"/>
      <c r="Y51" s="27"/>
      <c r="Z51" s="27"/>
      <c r="AA51" s="32"/>
      <c r="AB51" s="47"/>
    </row>
    <row r="52" spans="1:28" s="49" customFormat="1" ht="25.5">
      <c r="A52" s="48"/>
      <c r="B52" s="31" t="s">
        <v>86</v>
      </c>
      <c r="C52" s="27">
        <v>13270.81531</v>
      </c>
      <c r="D52" s="27">
        <v>165.1</v>
      </c>
      <c r="E52" s="32">
        <f t="shared" si="0"/>
        <v>13105.71531</v>
      </c>
      <c r="F52" s="27">
        <v>11057.08907</v>
      </c>
      <c r="G52" s="27">
        <v>118.96759</v>
      </c>
      <c r="H52" s="32">
        <f t="shared" si="12"/>
        <v>10938.12148</v>
      </c>
      <c r="I52" s="27">
        <f>12165.23142-F52</f>
        <v>1108.1423500000001</v>
      </c>
      <c r="J52" s="27">
        <f>1133.46794-G52</f>
        <v>1014.50035</v>
      </c>
      <c r="K52" s="32">
        <f t="shared" ref="K52:K89" si="18">I52-J52</f>
        <v>93.642000000000053</v>
      </c>
      <c r="L52" s="27">
        <v>10251.6821</v>
      </c>
      <c r="M52" s="27">
        <v>143.12</v>
      </c>
      <c r="N52" s="32">
        <f t="shared" si="13"/>
        <v>10108.562099999999</v>
      </c>
      <c r="O52" s="27">
        <v>11551.55609</v>
      </c>
      <c r="P52" s="27">
        <v>145.214</v>
      </c>
      <c r="Q52" s="32">
        <f t="shared" si="14"/>
        <v>11406.34209</v>
      </c>
      <c r="R52" s="47">
        <f t="shared" ref="R52:R67" si="19">Q52/E52</f>
        <v>0.87033342478427456</v>
      </c>
      <c r="S52" s="27">
        <v>10586.43374</v>
      </c>
      <c r="T52" s="27">
        <v>83.329250000000002</v>
      </c>
      <c r="U52" s="32">
        <f t="shared" si="15"/>
        <v>10503.10449</v>
      </c>
      <c r="V52" s="27">
        <v>600</v>
      </c>
      <c r="W52" s="27">
        <v>7</v>
      </c>
      <c r="X52" s="32">
        <f t="shared" si="16"/>
        <v>593</v>
      </c>
      <c r="Y52" s="27">
        <f t="shared" ref="Y52:Y57" si="20">O52</f>
        <v>11551.55609</v>
      </c>
      <c r="Z52" s="27">
        <f>P52</f>
        <v>145.214</v>
      </c>
      <c r="AA52" s="32">
        <f t="shared" si="17"/>
        <v>11406.34209</v>
      </c>
      <c r="AB52" s="47">
        <f t="shared" si="8"/>
        <v>0.87033342478427456</v>
      </c>
    </row>
    <row r="53" spans="1:28" s="49" customFormat="1" ht="25.5">
      <c r="A53" s="48"/>
      <c r="B53" s="31" t="s">
        <v>87</v>
      </c>
      <c r="C53" s="27">
        <v>0</v>
      </c>
      <c r="D53" s="27"/>
      <c r="E53" s="32">
        <f t="shared" si="0"/>
        <v>0</v>
      </c>
      <c r="F53" s="27"/>
      <c r="G53" s="27"/>
      <c r="H53" s="32">
        <f t="shared" si="12"/>
        <v>0</v>
      </c>
      <c r="I53" s="27"/>
      <c r="J53" s="27"/>
      <c r="K53" s="32">
        <f t="shared" si="18"/>
        <v>0</v>
      </c>
      <c r="L53" s="27">
        <v>2764.7909</v>
      </c>
      <c r="M53" s="27">
        <v>37.9</v>
      </c>
      <c r="N53" s="32">
        <f t="shared" si="13"/>
        <v>2726.8908999999999</v>
      </c>
      <c r="O53" s="27">
        <v>3049.4069100000002</v>
      </c>
      <c r="P53" s="27">
        <v>38.805999999999997</v>
      </c>
      <c r="Q53" s="32">
        <f t="shared" si="14"/>
        <v>3010.6009100000001</v>
      </c>
      <c r="R53" s="47" t="e">
        <f t="shared" si="19"/>
        <v>#DIV/0!</v>
      </c>
      <c r="S53" s="27">
        <v>2545.3427099999999</v>
      </c>
      <c r="T53" s="27">
        <v>22.967009999999998</v>
      </c>
      <c r="U53" s="32">
        <f t="shared" si="15"/>
        <v>2522.3757000000001</v>
      </c>
      <c r="V53" s="27">
        <v>180</v>
      </c>
      <c r="W53" s="27">
        <v>3</v>
      </c>
      <c r="X53" s="32">
        <f t="shared" si="16"/>
        <v>177</v>
      </c>
      <c r="Y53" s="27">
        <f t="shared" si="20"/>
        <v>3049.4069100000002</v>
      </c>
      <c r="Z53" s="27">
        <f>P53</f>
        <v>38.805999999999997</v>
      </c>
      <c r="AA53" s="32">
        <f t="shared" si="17"/>
        <v>3010.6009100000001</v>
      </c>
      <c r="AB53" s="47" t="e">
        <f t="shared" si="8"/>
        <v>#DIV/0!</v>
      </c>
    </row>
    <row r="54" spans="1:28" s="49" customFormat="1" ht="25.5">
      <c r="A54" s="48" t="s">
        <v>63</v>
      </c>
      <c r="B54" s="31" t="s">
        <v>88</v>
      </c>
      <c r="C54" s="27">
        <f>24808.59762</f>
        <v>24808.59762</v>
      </c>
      <c r="D54" s="50">
        <f>1837.56397</f>
        <v>1837.5639699999999</v>
      </c>
      <c r="E54" s="32">
        <f t="shared" si="0"/>
        <v>22971.033650000001</v>
      </c>
      <c r="F54" s="27">
        <v>14745.8033</v>
      </c>
      <c r="G54" s="50">
        <v>63.938279999999999</v>
      </c>
      <c r="H54" s="32">
        <f t="shared" si="12"/>
        <v>14681.865019999999</v>
      </c>
      <c r="I54" s="27">
        <f>16488.33591-F54</f>
        <v>1742.532610000002</v>
      </c>
      <c r="J54" s="50">
        <f>1198.29747-G54</f>
        <v>1134.3591899999999</v>
      </c>
      <c r="K54" s="32">
        <f t="shared" si="18"/>
        <v>608.17342000000212</v>
      </c>
      <c r="L54" s="27">
        <v>34256.741099999999</v>
      </c>
      <c r="M54" s="50">
        <v>247.97300000000001</v>
      </c>
      <c r="N54" s="32">
        <f t="shared" si="13"/>
        <v>34008.768100000001</v>
      </c>
      <c r="O54" s="27">
        <f>29938.48925+16</f>
        <v>29954.489249999999</v>
      </c>
      <c r="P54" s="50">
        <f>10391.65535</f>
        <v>10391.655350000001</v>
      </c>
      <c r="Q54" s="32">
        <f t="shared" si="14"/>
        <v>19562.833899999998</v>
      </c>
      <c r="R54" s="47">
        <f t="shared" si="19"/>
        <v>0.85163054471429922</v>
      </c>
      <c r="S54" s="27">
        <v>18581.274789999999</v>
      </c>
      <c r="T54" s="50">
        <v>474.0729</v>
      </c>
      <c r="U54" s="32">
        <f t="shared" si="15"/>
        <v>18107.20189</v>
      </c>
      <c r="V54" s="27">
        <v>4600</v>
      </c>
      <c r="W54" s="50">
        <v>8402</v>
      </c>
      <c r="X54" s="32">
        <f t="shared" si="16"/>
        <v>-3802</v>
      </c>
      <c r="Y54" s="27">
        <v>26454</v>
      </c>
      <c r="Z54" s="50">
        <f>P54</f>
        <v>10391.655350000001</v>
      </c>
      <c r="AA54" s="32">
        <f t="shared" si="17"/>
        <v>16062.344649999999</v>
      </c>
      <c r="AB54" s="47">
        <f t="shared" si="8"/>
        <v>0.69924344262148597</v>
      </c>
    </row>
    <row r="55" spans="1:28" ht="25.5">
      <c r="A55" s="48" t="s">
        <v>89</v>
      </c>
      <c r="B55" s="31" t="s">
        <v>90</v>
      </c>
      <c r="C55" s="27">
        <v>6</v>
      </c>
      <c r="D55" s="50"/>
      <c r="E55" s="32">
        <f t="shared" si="0"/>
        <v>6</v>
      </c>
      <c r="F55" s="27">
        <v>5</v>
      </c>
      <c r="G55" s="50"/>
      <c r="H55" s="32">
        <f t="shared" si="12"/>
        <v>5</v>
      </c>
      <c r="I55" s="27">
        <f>5.5-F55</f>
        <v>0.5</v>
      </c>
      <c r="J55" s="50"/>
      <c r="K55" s="32">
        <f t="shared" si="18"/>
        <v>0.5</v>
      </c>
      <c r="L55" s="27">
        <v>12</v>
      </c>
      <c r="M55" s="50"/>
      <c r="N55" s="32">
        <f t="shared" si="13"/>
        <v>12</v>
      </c>
      <c r="O55" s="27">
        <v>426.1</v>
      </c>
      <c r="P55" s="50"/>
      <c r="Q55" s="32">
        <f t="shared" si="14"/>
        <v>426.1</v>
      </c>
      <c r="R55" s="47">
        <f t="shared" si="19"/>
        <v>71.016666666666666</v>
      </c>
      <c r="S55" s="27">
        <v>260.24970000000002</v>
      </c>
      <c r="T55" s="50"/>
      <c r="U55" s="32">
        <f t="shared" si="15"/>
        <v>260.24970000000002</v>
      </c>
      <c r="V55" s="27">
        <v>30</v>
      </c>
      <c r="W55" s="50"/>
      <c r="X55" s="32">
        <f t="shared" si="16"/>
        <v>30</v>
      </c>
      <c r="Y55" s="27">
        <f t="shared" si="20"/>
        <v>426.1</v>
      </c>
      <c r="Z55" s="50"/>
      <c r="AA55" s="32">
        <f t="shared" si="17"/>
        <v>426.1</v>
      </c>
      <c r="AB55" s="47">
        <f t="shared" si="8"/>
        <v>71.016666666666666</v>
      </c>
    </row>
    <row r="56" spans="1:28" s="49" customFormat="1" ht="25.5">
      <c r="A56" s="48" t="s">
        <v>91</v>
      </c>
      <c r="B56" s="31" t="s">
        <v>92</v>
      </c>
      <c r="C56" s="27">
        <v>0</v>
      </c>
      <c r="D56" s="51"/>
      <c r="E56" s="32">
        <f t="shared" si="0"/>
        <v>0</v>
      </c>
      <c r="F56" s="27">
        <v>0</v>
      </c>
      <c r="G56" s="51"/>
      <c r="H56" s="32">
        <f t="shared" si="12"/>
        <v>0</v>
      </c>
      <c r="I56" s="27"/>
      <c r="J56" s="51"/>
      <c r="K56" s="32">
        <f t="shared" si="18"/>
        <v>0</v>
      </c>
      <c r="L56" s="27">
        <v>0</v>
      </c>
      <c r="M56" s="51"/>
      <c r="N56" s="32">
        <f t="shared" si="13"/>
        <v>0</v>
      </c>
      <c r="O56" s="27">
        <v>0</v>
      </c>
      <c r="P56" s="51"/>
      <c r="Q56" s="32">
        <f t="shared" si="14"/>
        <v>0</v>
      </c>
      <c r="R56" s="47" t="e">
        <f t="shared" si="19"/>
        <v>#DIV/0!</v>
      </c>
      <c r="S56" s="27"/>
      <c r="T56" s="51"/>
      <c r="U56" s="32">
        <f t="shared" si="15"/>
        <v>0</v>
      </c>
      <c r="V56" s="27"/>
      <c r="W56" s="51"/>
      <c r="X56" s="32">
        <f t="shared" si="16"/>
        <v>0</v>
      </c>
      <c r="Y56" s="27">
        <f t="shared" si="20"/>
        <v>0</v>
      </c>
      <c r="Z56" s="51"/>
      <c r="AA56" s="32">
        <f t="shared" si="17"/>
        <v>0</v>
      </c>
      <c r="AB56" s="47" t="e">
        <f t="shared" si="8"/>
        <v>#DIV/0!</v>
      </c>
    </row>
    <row r="57" spans="1:28" s="49" customFormat="1" ht="12.75">
      <c r="A57" s="48" t="s">
        <v>93</v>
      </c>
      <c r="B57" s="31" t="s">
        <v>94</v>
      </c>
      <c r="C57" s="27">
        <v>424.38664999999997</v>
      </c>
      <c r="D57" s="51"/>
      <c r="E57" s="32">
        <f t="shared" si="0"/>
        <v>424.38664999999997</v>
      </c>
      <c r="F57" s="27">
        <v>424.4</v>
      </c>
      <c r="G57" s="51"/>
      <c r="H57" s="32">
        <f t="shared" si="12"/>
        <v>424.4</v>
      </c>
      <c r="I57" s="27">
        <f>424.4-F57</f>
        <v>0</v>
      </c>
      <c r="J57" s="51"/>
      <c r="K57" s="32">
        <f t="shared" si="18"/>
        <v>0</v>
      </c>
      <c r="L57" s="27">
        <v>437.00700000000001</v>
      </c>
      <c r="M57" s="51"/>
      <c r="N57" s="32">
        <f t="shared" si="13"/>
        <v>437.00700000000001</v>
      </c>
      <c r="O57" s="27">
        <v>437.00700000000001</v>
      </c>
      <c r="P57" s="51"/>
      <c r="Q57" s="32">
        <f t="shared" si="14"/>
        <v>437.00700000000001</v>
      </c>
      <c r="R57" s="47">
        <f t="shared" si="19"/>
        <v>1.0297378581536436</v>
      </c>
      <c r="S57" s="27">
        <v>437.00700000000001</v>
      </c>
      <c r="T57" s="51"/>
      <c r="U57" s="32">
        <f t="shared" si="15"/>
        <v>437.00700000000001</v>
      </c>
      <c r="V57" s="27"/>
      <c r="W57" s="51"/>
      <c r="X57" s="32">
        <f t="shared" si="16"/>
        <v>0</v>
      </c>
      <c r="Y57" s="27">
        <f t="shared" si="20"/>
        <v>437.00700000000001</v>
      </c>
      <c r="Z57" s="51"/>
      <c r="AA57" s="32">
        <f t="shared" si="17"/>
        <v>437.00700000000001</v>
      </c>
      <c r="AB57" s="47">
        <f t="shared" si="8"/>
        <v>1.0297378581536436</v>
      </c>
    </row>
    <row r="58" spans="1:28" s="49" customFormat="1" ht="38.25">
      <c r="A58" s="48" t="s">
        <v>95</v>
      </c>
      <c r="B58" s="31" t="s">
        <v>96</v>
      </c>
      <c r="C58" s="27"/>
      <c r="D58" s="51"/>
      <c r="E58" s="32">
        <f t="shared" si="0"/>
        <v>0</v>
      </c>
      <c r="F58" s="27">
        <v>0</v>
      </c>
      <c r="G58" s="51"/>
      <c r="H58" s="32">
        <f t="shared" si="12"/>
        <v>0</v>
      </c>
      <c r="I58" s="27"/>
      <c r="J58" s="51"/>
      <c r="K58" s="32">
        <f t="shared" si="18"/>
        <v>0</v>
      </c>
      <c r="L58" s="27">
        <v>0</v>
      </c>
      <c r="M58" s="51"/>
      <c r="N58" s="32">
        <f t="shared" si="13"/>
        <v>0</v>
      </c>
      <c r="O58" s="27">
        <v>0</v>
      </c>
      <c r="P58" s="51"/>
      <c r="Q58" s="32">
        <f t="shared" si="14"/>
        <v>0</v>
      </c>
      <c r="R58" s="47" t="e">
        <f t="shared" si="19"/>
        <v>#DIV/0!</v>
      </c>
      <c r="S58" s="27"/>
      <c r="T58" s="51"/>
      <c r="U58" s="32">
        <f t="shared" si="15"/>
        <v>0</v>
      </c>
      <c r="V58" s="27"/>
      <c r="W58" s="51"/>
      <c r="X58" s="32">
        <f t="shared" si="16"/>
        <v>0</v>
      </c>
      <c r="Y58" s="27"/>
      <c r="Z58" s="51"/>
      <c r="AA58" s="32">
        <f t="shared" si="17"/>
        <v>0</v>
      </c>
      <c r="AB58" s="47" t="e">
        <f t="shared" si="8"/>
        <v>#DIV/0!</v>
      </c>
    </row>
    <row r="59" spans="1:28" s="49" customFormat="1" ht="51">
      <c r="A59" s="48"/>
      <c r="B59" s="52" t="s">
        <v>97</v>
      </c>
      <c r="C59" s="53">
        <f>C60+C63+C64+C65+C66+C67</f>
        <v>0</v>
      </c>
      <c r="D59" s="53">
        <f>D60+D63+D64+D65+D66+D67</f>
        <v>0</v>
      </c>
      <c r="E59" s="54">
        <f>C59-D59</f>
        <v>0</v>
      </c>
      <c r="F59" s="55">
        <f>F60+F63+F64+F65+F66+F67</f>
        <v>0</v>
      </c>
      <c r="G59" s="55">
        <f>G60+G63+G64+G65+G66+G67</f>
        <v>0</v>
      </c>
      <c r="H59" s="54">
        <f>F59-G59</f>
        <v>0</v>
      </c>
      <c r="I59" s="55">
        <f>I60+I63+I64+I65+I66+I67</f>
        <v>0</v>
      </c>
      <c r="J59" s="55">
        <f>J60+J63+J64+J65+J66+J67</f>
        <v>0</v>
      </c>
      <c r="K59" s="54">
        <f t="shared" si="18"/>
        <v>0</v>
      </c>
      <c r="L59" s="55">
        <f>L60+L63+L64+L65+L66+L67</f>
        <v>0</v>
      </c>
      <c r="M59" s="55">
        <f>M60+M63+M64+M65+M66+M67</f>
        <v>0</v>
      </c>
      <c r="N59" s="54">
        <f t="shared" si="13"/>
        <v>0</v>
      </c>
      <c r="O59" s="55">
        <f>O60+O63+O64+O65+O66+O67</f>
        <v>0</v>
      </c>
      <c r="P59" s="55">
        <f>P60+P63+P64+P65+P66+P67</f>
        <v>0</v>
      </c>
      <c r="Q59" s="54">
        <f t="shared" si="14"/>
        <v>0</v>
      </c>
      <c r="R59" s="56" t="e">
        <f t="shared" si="19"/>
        <v>#DIV/0!</v>
      </c>
      <c r="S59" s="55">
        <f>S60+S63+S64+S65+S66+S67</f>
        <v>0</v>
      </c>
      <c r="T59" s="55">
        <f>T60+T63+T64+T65+T66+T67</f>
        <v>0</v>
      </c>
      <c r="U59" s="54">
        <f t="shared" si="15"/>
        <v>0</v>
      </c>
      <c r="V59" s="55">
        <f>V60+V63+V64+V65+V66+V67</f>
        <v>0</v>
      </c>
      <c r="W59" s="55">
        <f>W60+W63+W64+W65+W66+W67</f>
        <v>0</v>
      </c>
      <c r="X59" s="54">
        <f t="shared" si="16"/>
        <v>0</v>
      </c>
      <c r="Y59" s="55">
        <f>Y60+Y63+Y64+Y65+Y66+Y67</f>
        <v>0</v>
      </c>
      <c r="Z59" s="55">
        <f>Z60+Z63+Z64+Z65+Z66+Z67</f>
        <v>0</v>
      </c>
      <c r="AA59" s="54">
        <f t="shared" si="17"/>
        <v>0</v>
      </c>
      <c r="AB59" s="57" t="e">
        <f t="shared" si="8"/>
        <v>#DIV/0!</v>
      </c>
    </row>
    <row r="60" spans="1:28" s="49" customFormat="1" ht="13.5">
      <c r="A60" s="48" t="s">
        <v>98</v>
      </c>
      <c r="B60" s="58" t="s">
        <v>99</v>
      </c>
      <c r="C60" s="59"/>
      <c r="D60" s="60"/>
      <c r="E60" s="61">
        <f>C60-D60</f>
        <v>0</v>
      </c>
      <c r="F60" s="59"/>
      <c r="G60" s="60"/>
      <c r="H60" s="61">
        <f>F60-G60</f>
        <v>0</v>
      </c>
      <c r="I60" s="59"/>
      <c r="J60" s="60"/>
      <c r="K60" s="61">
        <f t="shared" si="18"/>
        <v>0</v>
      </c>
      <c r="L60" s="59"/>
      <c r="M60" s="60"/>
      <c r="N60" s="61">
        <f t="shared" si="13"/>
        <v>0</v>
      </c>
      <c r="O60" s="59"/>
      <c r="P60" s="60"/>
      <c r="Q60" s="61">
        <f t="shared" si="14"/>
        <v>0</v>
      </c>
      <c r="R60" s="62" t="e">
        <f t="shared" si="19"/>
        <v>#DIV/0!</v>
      </c>
      <c r="S60" s="59"/>
      <c r="T60" s="60"/>
      <c r="U60" s="61">
        <f t="shared" si="15"/>
        <v>0</v>
      </c>
      <c r="V60" s="59"/>
      <c r="W60" s="60"/>
      <c r="X60" s="61">
        <f t="shared" si="16"/>
        <v>0</v>
      </c>
      <c r="Y60" s="59"/>
      <c r="Z60" s="60"/>
      <c r="AA60" s="61">
        <f t="shared" si="17"/>
        <v>0</v>
      </c>
      <c r="AB60" s="62" t="e">
        <f t="shared" si="8"/>
        <v>#DIV/0!</v>
      </c>
    </row>
    <row r="61" spans="1:28" s="49" customFormat="1" ht="13.5">
      <c r="A61" s="48"/>
      <c r="B61" s="58" t="s">
        <v>15</v>
      </c>
      <c r="C61" s="59"/>
      <c r="D61" s="60"/>
      <c r="E61" s="61"/>
      <c r="F61" s="59"/>
      <c r="G61" s="60"/>
      <c r="H61" s="61"/>
      <c r="I61" s="59"/>
      <c r="J61" s="60"/>
      <c r="K61" s="61"/>
      <c r="L61" s="59"/>
      <c r="M61" s="60"/>
      <c r="N61" s="61"/>
      <c r="O61" s="59"/>
      <c r="P61" s="60"/>
      <c r="Q61" s="61"/>
      <c r="R61" s="62"/>
      <c r="S61" s="59"/>
      <c r="T61" s="60"/>
      <c r="U61" s="61"/>
      <c r="V61" s="59"/>
      <c r="W61" s="60"/>
      <c r="X61" s="61"/>
      <c r="Y61" s="59"/>
      <c r="Z61" s="60"/>
      <c r="AA61" s="61"/>
      <c r="AB61" s="62"/>
    </row>
    <row r="62" spans="1:28" s="49" customFormat="1" ht="25.5">
      <c r="A62" s="48"/>
      <c r="B62" s="58" t="s">
        <v>100</v>
      </c>
      <c r="C62" s="59"/>
      <c r="D62" s="60"/>
      <c r="E62" s="61">
        <f t="shared" ref="E62:E67" si="21">C62-D62</f>
        <v>0</v>
      </c>
      <c r="F62" s="59"/>
      <c r="G62" s="60"/>
      <c r="H62" s="61">
        <f t="shared" ref="H62:H67" si="22">F62-G62</f>
        <v>0</v>
      </c>
      <c r="I62" s="59"/>
      <c r="J62" s="60"/>
      <c r="K62" s="61">
        <f t="shared" si="18"/>
        <v>0</v>
      </c>
      <c r="L62" s="59"/>
      <c r="M62" s="60"/>
      <c r="N62" s="61">
        <f t="shared" si="13"/>
        <v>0</v>
      </c>
      <c r="O62" s="59"/>
      <c r="P62" s="60"/>
      <c r="Q62" s="61">
        <f t="shared" si="14"/>
        <v>0</v>
      </c>
      <c r="R62" s="62" t="e">
        <f t="shared" si="19"/>
        <v>#DIV/0!</v>
      </c>
      <c r="S62" s="59"/>
      <c r="T62" s="60"/>
      <c r="U62" s="61">
        <f t="shared" si="15"/>
        <v>0</v>
      </c>
      <c r="V62" s="59"/>
      <c r="W62" s="60"/>
      <c r="X62" s="61">
        <f t="shared" si="16"/>
        <v>0</v>
      </c>
      <c r="Y62" s="59"/>
      <c r="Z62" s="60"/>
      <c r="AA62" s="61">
        <f t="shared" si="17"/>
        <v>0</v>
      </c>
      <c r="AB62" s="62" t="e">
        <f t="shared" si="8"/>
        <v>#DIV/0!</v>
      </c>
    </row>
    <row r="63" spans="1:28" s="49" customFormat="1" ht="13.5">
      <c r="A63" s="48" t="s">
        <v>101</v>
      </c>
      <c r="B63" s="58" t="s">
        <v>102</v>
      </c>
      <c r="C63" s="59"/>
      <c r="D63" s="60"/>
      <c r="E63" s="61">
        <f t="shared" si="21"/>
        <v>0</v>
      </c>
      <c r="F63" s="59"/>
      <c r="G63" s="60"/>
      <c r="H63" s="61">
        <f t="shared" si="22"/>
        <v>0</v>
      </c>
      <c r="I63" s="59"/>
      <c r="J63" s="60"/>
      <c r="K63" s="61">
        <f t="shared" si="18"/>
        <v>0</v>
      </c>
      <c r="L63" s="59"/>
      <c r="M63" s="60"/>
      <c r="N63" s="61">
        <f t="shared" si="13"/>
        <v>0</v>
      </c>
      <c r="O63" s="59"/>
      <c r="P63" s="60"/>
      <c r="Q63" s="61">
        <f t="shared" si="14"/>
        <v>0</v>
      </c>
      <c r="R63" s="62" t="e">
        <f t="shared" si="19"/>
        <v>#DIV/0!</v>
      </c>
      <c r="S63" s="59"/>
      <c r="T63" s="60"/>
      <c r="U63" s="61">
        <f t="shared" si="15"/>
        <v>0</v>
      </c>
      <c r="V63" s="59"/>
      <c r="W63" s="60"/>
      <c r="X63" s="61">
        <f t="shared" si="16"/>
        <v>0</v>
      </c>
      <c r="Y63" s="59"/>
      <c r="Z63" s="60"/>
      <c r="AA63" s="61">
        <f t="shared" si="17"/>
        <v>0</v>
      </c>
      <c r="AB63" s="62" t="e">
        <f t="shared" si="8"/>
        <v>#DIV/0!</v>
      </c>
    </row>
    <row r="64" spans="1:28" s="49" customFormat="1" ht="13.5">
      <c r="A64" s="48" t="s">
        <v>103</v>
      </c>
      <c r="B64" s="58" t="s">
        <v>104</v>
      </c>
      <c r="C64" s="59"/>
      <c r="D64" s="60"/>
      <c r="E64" s="61">
        <f t="shared" si="21"/>
        <v>0</v>
      </c>
      <c r="F64" s="59"/>
      <c r="G64" s="60"/>
      <c r="H64" s="61">
        <f t="shared" si="22"/>
        <v>0</v>
      </c>
      <c r="I64" s="59"/>
      <c r="J64" s="60"/>
      <c r="K64" s="61">
        <f t="shared" si="18"/>
        <v>0</v>
      </c>
      <c r="L64" s="59"/>
      <c r="M64" s="60"/>
      <c r="N64" s="61">
        <f t="shared" si="13"/>
        <v>0</v>
      </c>
      <c r="O64" s="59"/>
      <c r="P64" s="60"/>
      <c r="Q64" s="61">
        <f t="shared" si="14"/>
        <v>0</v>
      </c>
      <c r="R64" s="62" t="e">
        <f t="shared" si="19"/>
        <v>#DIV/0!</v>
      </c>
      <c r="S64" s="59"/>
      <c r="T64" s="60"/>
      <c r="U64" s="61">
        <f t="shared" si="15"/>
        <v>0</v>
      </c>
      <c r="V64" s="59"/>
      <c r="W64" s="60"/>
      <c r="X64" s="61">
        <f t="shared" si="16"/>
        <v>0</v>
      </c>
      <c r="Y64" s="59"/>
      <c r="Z64" s="60"/>
      <c r="AA64" s="61">
        <f t="shared" si="17"/>
        <v>0</v>
      </c>
      <c r="AB64" s="62" t="e">
        <f t="shared" si="8"/>
        <v>#DIV/0!</v>
      </c>
    </row>
    <row r="65" spans="1:28" s="49" customFormat="1" ht="13.5">
      <c r="A65" s="48" t="s">
        <v>105</v>
      </c>
      <c r="B65" s="58" t="s">
        <v>106</v>
      </c>
      <c r="C65" s="59"/>
      <c r="D65" s="60"/>
      <c r="E65" s="61">
        <f t="shared" si="21"/>
        <v>0</v>
      </c>
      <c r="F65" s="59"/>
      <c r="G65" s="60"/>
      <c r="H65" s="61">
        <f t="shared" si="22"/>
        <v>0</v>
      </c>
      <c r="I65" s="59"/>
      <c r="J65" s="60"/>
      <c r="K65" s="61">
        <f t="shared" si="18"/>
        <v>0</v>
      </c>
      <c r="L65" s="59"/>
      <c r="M65" s="60"/>
      <c r="N65" s="61">
        <f t="shared" si="13"/>
        <v>0</v>
      </c>
      <c r="O65" s="59"/>
      <c r="P65" s="60"/>
      <c r="Q65" s="61">
        <f t="shared" si="14"/>
        <v>0</v>
      </c>
      <c r="R65" s="62" t="e">
        <f t="shared" si="19"/>
        <v>#DIV/0!</v>
      </c>
      <c r="S65" s="59"/>
      <c r="T65" s="60"/>
      <c r="U65" s="61">
        <f t="shared" si="15"/>
        <v>0</v>
      </c>
      <c r="V65" s="59"/>
      <c r="W65" s="60"/>
      <c r="X65" s="61">
        <f t="shared" si="16"/>
        <v>0</v>
      </c>
      <c r="Y65" s="59"/>
      <c r="Z65" s="60"/>
      <c r="AA65" s="61">
        <f t="shared" si="17"/>
        <v>0</v>
      </c>
      <c r="AB65" s="62" t="e">
        <f t="shared" si="8"/>
        <v>#DIV/0!</v>
      </c>
    </row>
    <row r="66" spans="1:28" s="49" customFormat="1" ht="25.5">
      <c r="A66" s="48" t="s">
        <v>107</v>
      </c>
      <c r="B66" s="58" t="s">
        <v>108</v>
      </c>
      <c r="C66" s="59"/>
      <c r="D66" s="60"/>
      <c r="E66" s="61">
        <f t="shared" si="21"/>
        <v>0</v>
      </c>
      <c r="F66" s="59"/>
      <c r="G66" s="60"/>
      <c r="H66" s="61">
        <f t="shared" si="22"/>
        <v>0</v>
      </c>
      <c r="I66" s="59"/>
      <c r="J66" s="60"/>
      <c r="K66" s="61">
        <f t="shared" si="18"/>
        <v>0</v>
      </c>
      <c r="L66" s="59"/>
      <c r="M66" s="60"/>
      <c r="N66" s="61">
        <f t="shared" si="13"/>
        <v>0</v>
      </c>
      <c r="O66" s="59"/>
      <c r="P66" s="60"/>
      <c r="Q66" s="61">
        <f t="shared" si="14"/>
        <v>0</v>
      </c>
      <c r="R66" s="62" t="e">
        <f t="shared" si="19"/>
        <v>#DIV/0!</v>
      </c>
      <c r="S66" s="59"/>
      <c r="T66" s="60"/>
      <c r="U66" s="61">
        <f t="shared" si="15"/>
        <v>0</v>
      </c>
      <c r="V66" s="59"/>
      <c r="W66" s="60"/>
      <c r="X66" s="61">
        <f t="shared" si="16"/>
        <v>0</v>
      </c>
      <c r="Y66" s="59"/>
      <c r="Z66" s="60"/>
      <c r="AA66" s="61">
        <f t="shared" si="17"/>
        <v>0</v>
      </c>
      <c r="AB66" s="62" t="e">
        <f t="shared" si="8"/>
        <v>#DIV/0!</v>
      </c>
    </row>
    <row r="67" spans="1:28" s="49" customFormat="1" ht="13.5">
      <c r="A67" s="48" t="s">
        <v>103</v>
      </c>
      <c r="B67" s="58" t="s">
        <v>109</v>
      </c>
      <c r="C67" s="59"/>
      <c r="D67" s="60"/>
      <c r="E67" s="61">
        <f t="shared" si="21"/>
        <v>0</v>
      </c>
      <c r="F67" s="59"/>
      <c r="G67" s="60"/>
      <c r="H67" s="61">
        <f t="shared" si="22"/>
        <v>0</v>
      </c>
      <c r="I67" s="59"/>
      <c r="J67" s="60"/>
      <c r="K67" s="61">
        <f t="shared" si="18"/>
        <v>0</v>
      </c>
      <c r="L67" s="59"/>
      <c r="M67" s="60"/>
      <c r="N67" s="61">
        <f t="shared" si="13"/>
        <v>0</v>
      </c>
      <c r="O67" s="59"/>
      <c r="P67" s="60"/>
      <c r="Q67" s="61">
        <f t="shared" si="14"/>
        <v>0</v>
      </c>
      <c r="R67" s="62" t="e">
        <f t="shared" si="19"/>
        <v>#DIV/0!</v>
      </c>
      <c r="S67" s="59"/>
      <c r="T67" s="60"/>
      <c r="U67" s="61">
        <f t="shared" si="15"/>
        <v>0</v>
      </c>
      <c r="V67" s="59"/>
      <c r="W67" s="60"/>
      <c r="X67" s="61">
        <f t="shared" si="16"/>
        <v>0</v>
      </c>
      <c r="Y67" s="59"/>
      <c r="Z67" s="60"/>
      <c r="AA67" s="61">
        <f t="shared" si="17"/>
        <v>0</v>
      </c>
      <c r="AB67" s="62" t="e">
        <f t="shared" si="8"/>
        <v>#DIV/0!</v>
      </c>
    </row>
    <row r="68" spans="1:28" s="49" customFormat="1" ht="25.5">
      <c r="A68" s="23" t="s">
        <v>110</v>
      </c>
      <c r="B68" s="31" t="s">
        <v>111</v>
      </c>
      <c r="C68" s="27"/>
      <c r="D68" s="63"/>
      <c r="E68" s="32">
        <f t="shared" si="0"/>
        <v>0</v>
      </c>
      <c r="F68" s="27"/>
      <c r="G68" s="63"/>
      <c r="H68" s="32">
        <f t="shared" si="12"/>
        <v>0</v>
      </c>
      <c r="I68" s="27"/>
      <c r="J68" s="63"/>
      <c r="K68" s="32">
        <f t="shared" si="18"/>
        <v>0</v>
      </c>
      <c r="L68" s="27"/>
      <c r="M68" s="63"/>
      <c r="N68" s="32">
        <f t="shared" si="13"/>
        <v>0</v>
      </c>
      <c r="O68" s="27"/>
      <c r="P68" s="63"/>
      <c r="Q68" s="32">
        <f t="shared" si="14"/>
        <v>0</v>
      </c>
      <c r="R68" s="47" t="e">
        <f>Q68/E68</f>
        <v>#DIV/0!</v>
      </c>
      <c r="S68" s="27"/>
      <c r="T68" s="63"/>
      <c r="U68" s="32">
        <f t="shared" si="15"/>
        <v>0</v>
      </c>
      <c r="V68" s="27"/>
      <c r="W68" s="63"/>
      <c r="X68" s="32">
        <f t="shared" si="16"/>
        <v>0</v>
      </c>
      <c r="Y68" s="27"/>
      <c r="Z68" s="63"/>
      <c r="AA68" s="32">
        <f t="shared" si="17"/>
        <v>0</v>
      </c>
      <c r="AB68" s="47" t="e">
        <f t="shared" si="8"/>
        <v>#DIV/0!</v>
      </c>
    </row>
    <row r="69" spans="1:28" s="49" customFormat="1" ht="25.5">
      <c r="A69" s="23" t="s">
        <v>112</v>
      </c>
      <c r="B69" s="31" t="s">
        <v>113</v>
      </c>
      <c r="C69" s="27">
        <f>C71+C72+C73</f>
        <v>6612.24575</v>
      </c>
      <c r="D69" s="51"/>
      <c r="E69" s="32">
        <f t="shared" si="0"/>
        <v>6612.24575</v>
      </c>
      <c r="F69" s="27">
        <f>F71+F72+F73+F74</f>
        <v>6066.8163999999997</v>
      </c>
      <c r="G69" s="51"/>
      <c r="H69" s="32">
        <f t="shared" si="12"/>
        <v>6066.8163999999997</v>
      </c>
      <c r="I69" s="27">
        <f>6066.8164-F69</f>
        <v>0</v>
      </c>
      <c r="J69" s="51"/>
      <c r="K69" s="32">
        <f t="shared" si="18"/>
        <v>0</v>
      </c>
      <c r="L69" s="27">
        <f>6484.8089-3075.80888</f>
        <v>3409.0000199999999</v>
      </c>
      <c r="M69" s="51"/>
      <c r="N69" s="32">
        <f t="shared" si="13"/>
        <v>3409.0000199999999</v>
      </c>
      <c r="O69" s="27">
        <v>5835.8089</v>
      </c>
      <c r="P69" s="51"/>
      <c r="Q69" s="32">
        <f t="shared" si="14"/>
        <v>5835.8089</v>
      </c>
      <c r="R69" s="47">
        <f t="shared" ref="R69:R88" si="23">Q69/E69</f>
        <v>0.88257592361868886</v>
      </c>
      <c r="S69" s="27">
        <f>S71+S72+S73+S74</f>
        <v>5576.5337399999999</v>
      </c>
      <c r="T69" s="51"/>
      <c r="U69" s="32">
        <f t="shared" si="15"/>
        <v>5576.5337399999999</v>
      </c>
      <c r="V69" s="27">
        <v>0</v>
      </c>
      <c r="W69" s="51"/>
      <c r="X69" s="32">
        <f t="shared" si="16"/>
        <v>0</v>
      </c>
      <c r="Y69" s="27">
        <f>O69</f>
        <v>5835.8089</v>
      </c>
      <c r="Z69" s="51"/>
      <c r="AA69" s="32">
        <f t="shared" si="17"/>
        <v>5835.8089</v>
      </c>
      <c r="AB69" s="47">
        <f t="shared" si="8"/>
        <v>0.88257592361868886</v>
      </c>
    </row>
    <row r="70" spans="1:28" s="49" customFormat="1" ht="12.75">
      <c r="A70" s="23"/>
      <c r="B70" s="31" t="s">
        <v>26</v>
      </c>
      <c r="C70" s="27"/>
      <c r="D70" s="51"/>
      <c r="E70" s="32"/>
      <c r="F70" s="27"/>
      <c r="G70" s="51"/>
      <c r="H70" s="32"/>
      <c r="I70" s="27"/>
      <c r="J70" s="51"/>
      <c r="K70" s="32"/>
      <c r="L70" s="27"/>
      <c r="M70" s="51"/>
      <c r="N70" s="32"/>
      <c r="O70" s="27"/>
      <c r="P70" s="51"/>
      <c r="Q70" s="32"/>
      <c r="R70" s="47"/>
      <c r="S70" s="27"/>
      <c r="T70" s="51"/>
      <c r="U70" s="32"/>
      <c r="V70" s="27"/>
      <c r="W70" s="51"/>
      <c r="X70" s="32"/>
      <c r="Y70" s="27"/>
      <c r="Z70" s="51"/>
      <c r="AA70" s="32"/>
      <c r="AB70" s="47"/>
    </row>
    <row r="71" spans="1:28" s="49" customFormat="1" ht="76.5">
      <c r="A71" s="23"/>
      <c r="B71" s="31" t="s">
        <v>114</v>
      </c>
      <c r="C71" s="27">
        <v>6594.1209099999996</v>
      </c>
      <c r="D71" s="51"/>
      <c r="E71" s="32">
        <f t="shared" si="0"/>
        <v>6594.1209099999996</v>
      </c>
      <c r="F71" s="27">
        <v>6055.2715600000001</v>
      </c>
      <c r="G71" s="51"/>
      <c r="H71" s="32">
        <f t="shared" si="12"/>
        <v>6055.2715600000001</v>
      </c>
      <c r="I71" s="27">
        <f>6055.27156-F71</f>
        <v>0</v>
      </c>
      <c r="J71" s="51"/>
      <c r="K71" s="32">
        <f t="shared" si="18"/>
        <v>0</v>
      </c>
      <c r="L71" s="27">
        <f>6344.8089-3075.80888</f>
        <v>3269.0000199999999</v>
      </c>
      <c r="M71" s="51"/>
      <c r="N71" s="32">
        <f t="shared" si="13"/>
        <v>3269.0000199999999</v>
      </c>
      <c r="O71" s="27">
        <v>5695.8089</v>
      </c>
      <c r="P71" s="51"/>
      <c r="Q71" s="32">
        <f t="shared" si="14"/>
        <v>5695.8089</v>
      </c>
      <c r="R71" s="47">
        <f t="shared" si="23"/>
        <v>0.86377077062118968</v>
      </c>
      <c r="S71" s="27">
        <v>5565.8702700000003</v>
      </c>
      <c r="T71" s="51"/>
      <c r="U71" s="32">
        <f t="shared" si="15"/>
        <v>5565.8702700000003</v>
      </c>
      <c r="V71" s="27"/>
      <c r="W71" s="51"/>
      <c r="X71" s="32">
        <f t="shared" si="16"/>
        <v>0</v>
      </c>
      <c r="Y71" s="27">
        <f>O71</f>
        <v>5695.8089</v>
      </c>
      <c r="Z71" s="51"/>
      <c r="AA71" s="32">
        <f t="shared" si="17"/>
        <v>5695.8089</v>
      </c>
      <c r="AB71" s="47">
        <f t="shared" si="8"/>
        <v>0.86377077062118968</v>
      </c>
    </row>
    <row r="72" spans="1:28" s="49" customFormat="1" ht="25.5">
      <c r="A72" s="23"/>
      <c r="B72" s="31" t="s">
        <v>115</v>
      </c>
      <c r="C72" s="27">
        <v>3.3</v>
      </c>
      <c r="D72" s="51"/>
      <c r="E72" s="32">
        <f t="shared" si="0"/>
        <v>3.3</v>
      </c>
      <c r="F72" s="27">
        <v>0</v>
      </c>
      <c r="G72" s="51"/>
      <c r="H72" s="32">
        <f t="shared" si="12"/>
        <v>0</v>
      </c>
      <c r="I72" s="27"/>
      <c r="J72" s="51"/>
      <c r="K72" s="32">
        <f t="shared" si="18"/>
        <v>0</v>
      </c>
      <c r="L72" s="27"/>
      <c r="M72" s="51"/>
      <c r="N72" s="32">
        <f t="shared" si="13"/>
        <v>0</v>
      </c>
      <c r="O72" s="27">
        <v>0</v>
      </c>
      <c r="P72" s="51"/>
      <c r="Q72" s="32">
        <f t="shared" si="14"/>
        <v>0</v>
      </c>
      <c r="R72" s="47">
        <f t="shared" si="23"/>
        <v>0</v>
      </c>
      <c r="S72" s="27">
        <f>0.2</f>
        <v>0.2</v>
      </c>
      <c r="T72" s="51"/>
      <c r="U72" s="32">
        <f t="shared" si="15"/>
        <v>0.2</v>
      </c>
      <c r="V72" s="27"/>
      <c r="W72" s="51"/>
      <c r="X72" s="32">
        <f t="shared" si="16"/>
        <v>0</v>
      </c>
      <c r="Y72" s="27"/>
      <c r="Z72" s="51"/>
      <c r="AA72" s="32">
        <f t="shared" si="17"/>
        <v>0</v>
      </c>
      <c r="AB72" s="47">
        <f t="shared" si="8"/>
        <v>0</v>
      </c>
    </row>
    <row r="73" spans="1:28" s="49" customFormat="1" ht="25.5">
      <c r="A73" s="23"/>
      <c r="B73" s="31" t="s">
        <v>116</v>
      </c>
      <c r="C73" s="27">
        <v>14.82484</v>
      </c>
      <c r="D73" s="51"/>
      <c r="E73" s="32">
        <f t="shared" si="0"/>
        <v>14.82484</v>
      </c>
      <c r="F73" s="27">
        <v>11.544840000000001</v>
      </c>
      <c r="G73" s="51"/>
      <c r="H73" s="32">
        <f t="shared" si="12"/>
        <v>11.544840000000001</v>
      </c>
      <c r="I73" s="27">
        <f>11.54484-F73</f>
        <v>0</v>
      </c>
      <c r="J73" s="51"/>
      <c r="K73" s="32">
        <f t="shared" si="18"/>
        <v>0</v>
      </c>
      <c r="L73" s="27">
        <v>40</v>
      </c>
      <c r="M73" s="51"/>
      <c r="N73" s="32">
        <f t="shared" si="13"/>
        <v>40</v>
      </c>
      <c r="O73" s="27">
        <v>40</v>
      </c>
      <c r="P73" s="51"/>
      <c r="Q73" s="32">
        <f t="shared" si="14"/>
        <v>40</v>
      </c>
      <c r="R73" s="47">
        <f t="shared" si="23"/>
        <v>2.6981741455557025</v>
      </c>
      <c r="S73" s="27">
        <v>10.463469999999999</v>
      </c>
      <c r="T73" s="51"/>
      <c r="U73" s="32">
        <f t="shared" si="15"/>
        <v>10.463469999999999</v>
      </c>
      <c r="V73" s="27">
        <v>0.2</v>
      </c>
      <c r="W73" s="51"/>
      <c r="X73" s="32">
        <f t="shared" si="16"/>
        <v>0.2</v>
      </c>
      <c r="Y73" s="27">
        <f>O73</f>
        <v>40</v>
      </c>
      <c r="Z73" s="51"/>
      <c r="AA73" s="32">
        <f t="shared" si="17"/>
        <v>40</v>
      </c>
      <c r="AB73" s="47">
        <f t="shared" si="8"/>
        <v>2.6981741455557025</v>
      </c>
    </row>
    <row r="74" spans="1:28" s="49" customFormat="1" ht="12.75">
      <c r="A74" s="23"/>
      <c r="B74" s="31" t="s">
        <v>117</v>
      </c>
      <c r="C74" s="27"/>
      <c r="D74" s="51"/>
      <c r="E74" s="32">
        <f t="shared" si="0"/>
        <v>0</v>
      </c>
      <c r="F74" s="27"/>
      <c r="G74" s="51"/>
      <c r="H74" s="32">
        <f t="shared" si="12"/>
        <v>0</v>
      </c>
      <c r="I74" s="27"/>
      <c r="J74" s="51"/>
      <c r="K74" s="32">
        <f t="shared" si="18"/>
        <v>0</v>
      </c>
      <c r="L74" s="27">
        <v>100</v>
      </c>
      <c r="M74" s="51"/>
      <c r="N74" s="32">
        <f t="shared" si="13"/>
        <v>100</v>
      </c>
      <c r="O74" s="27">
        <v>100</v>
      </c>
      <c r="P74" s="51"/>
      <c r="Q74" s="32">
        <f t="shared" si="14"/>
        <v>100</v>
      </c>
      <c r="R74" s="47" t="e">
        <f t="shared" si="23"/>
        <v>#DIV/0!</v>
      </c>
      <c r="S74" s="27">
        <v>0</v>
      </c>
      <c r="T74" s="51"/>
      <c r="U74" s="32">
        <f t="shared" si="15"/>
        <v>0</v>
      </c>
      <c r="V74" s="27"/>
      <c r="W74" s="51"/>
      <c r="X74" s="32">
        <f t="shared" si="16"/>
        <v>0</v>
      </c>
      <c r="Y74" s="27">
        <v>0</v>
      </c>
      <c r="Z74" s="51"/>
      <c r="AA74" s="32">
        <f t="shared" si="17"/>
        <v>0</v>
      </c>
      <c r="AB74" s="47" t="e">
        <f t="shared" si="8"/>
        <v>#DIV/0!</v>
      </c>
    </row>
    <row r="75" spans="1:28" s="49" customFormat="1" ht="12.75">
      <c r="A75" s="18" t="s">
        <v>118</v>
      </c>
      <c r="B75" s="64" t="s">
        <v>119</v>
      </c>
      <c r="C75" s="46">
        <f>C76+C80+C81+C82+C83+C84</f>
        <v>11920.67641</v>
      </c>
      <c r="D75" s="46">
        <f>D76+D80+D81+D82+D83+D84</f>
        <v>0</v>
      </c>
      <c r="E75" s="32">
        <f t="shared" si="0"/>
        <v>11920.67641</v>
      </c>
      <c r="F75" s="46">
        <f>F76+F80+F81+F82+F83+F84</f>
        <v>14113.552540000001</v>
      </c>
      <c r="G75" s="46">
        <f>G76+G80+G81+G82+G83+G84</f>
        <v>5.4</v>
      </c>
      <c r="H75" s="32">
        <f t="shared" si="12"/>
        <v>14108.152540000001</v>
      </c>
      <c r="I75" s="46">
        <f>I76+I80+I81+I82+I83+I84</f>
        <v>1127.8302100000001</v>
      </c>
      <c r="J75" s="46">
        <f>J76+J80+J81+J82+J83+J84</f>
        <v>3</v>
      </c>
      <c r="K75" s="32">
        <f t="shared" si="18"/>
        <v>1124.8302100000001</v>
      </c>
      <c r="L75" s="46">
        <f>L76+L80+L81+L82+L83+L84</f>
        <v>7271.2079999999996</v>
      </c>
      <c r="M75" s="46">
        <f>M76+M80+M81+M82+M83+M84</f>
        <v>0</v>
      </c>
      <c r="N75" s="32">
        <f t="shared" si="13"/>
        <v>7271.2079999999996</v>
      </c>
      <c r="O75" s="46">
        <f>O76+O80+O81+O82+O83+O84</f>
        <v>29917.121999999999</v>
      </c>
      <c r="P75" s="46">
        <f>P76+P80+P81+P82+P83+P84</f>
        <v>11.4</v>
      </c>
      <c r="Q75" s="32">
        <f t="shared" si="14"/>
        <v>29905.721999999998</v>
      </c>
      <c r="R75" s="47">
        <f t="shared" si="23"/>
        <v>2.5087269355716031</v>
      </c>
      <c r="S75" s="46">
        <f>S76+S80+S81+S82+S83+S84</f>
        <v>15199.151689999999</v>
      </c>
      <c r="T75" s="46">
        <f>T76+T80+T81+T82+T83+T84</f>
        <v>2.2650000000000001</v>
      </c>
      <c r="U75" s="32">
        <f t="shared" si="15"/>
        <v>15196.886689999999</v>
      </c>
      <c r="V75" s="46">
        <f>V76+V80+V81+V82+V83+V84</f>
        <v>11120</v>
      </c>
      <c r="W75" s="46">
        <f>W76+W80+W81+W82+W83+W84</f>
        <v>0</v>
      </c>
      <c r="X75" s="32">
        <f t="shared" si="16"/>
        <v>11120</v>
      </c>
      <c r="Y75" s="46">
        <f>Y76+Y80+Y81+Y82+Y83+Y84</f>
        <v>29917.121999999999</v>
      </c>
      <c r="Z75" s="46">
        <f>Z76+Z80+Z81+Z82+Z83+Z84</f>
        <v>11.4</v>
      </c>
      <c r="AA75" s="32">
        <f t="shared" si="17"/>
        <v>29905.721999999998</v>
      </c>
      <c r="AB75" s="47">
        <f t="shared" si="8"/>
        <v>2.5087269355716031</v>
      </c>
    </row>
    <row r="76" spans="1:28" s="49" customFormat="1" ht="38.25">
      <c r="A76" s="23" t="s">
        <v>120</v>
      </c>
      <c r="B76" s="31" t="s">
        <v>121</v>
      </c>
      <c r="C76" s="27">
        <f>8407.65184-165.429</f>
        <v>8242.2228400000004</v>
      </c>
      <c r="D76" s="27"/>
      <c r="E76" s="32">
        <f>C76-D76</f>
        <v>8242.2228400000004</v>
      </c>
      <c r="F76" s="27">
        <v>6896.9068299999999</v>
      </c>
      <c r="G76" s="51"/>
      <c r="H76" s="32">
        <f t="shared" si="12"/>
        <v>6896.9068299999999</v>
      </c>
      <c r="I76" s="27">
        <f>7457.41195-F76</f>
        <v>560.50511999999981</v>
      </c>
      <c r="J76" s="51"/>
      <c r="K76" s="32">
        <f t="shared" si="18"/>
        <v>560.50511999999981</v>
      </c>
      <c r="L76" s="27">
        <f>7271.208</f>
        <v>7271.2079999999996</v>
      </c>
      <c r="M76" s="51"/>
      <c r="N76" s="32">
        <f t="shared" si="13"/>
        <v>7271.2079999999996</v>
      </c>
      <c r="O76" s="27">
        <v>7476.1697800000002</v>
      </c>
      <c r="P76" s="51"/>
      <c r="Q76" s="32">
        <f t="shared" si="14"/>
        <v>7476.1697800000002</v>
      </c>
      <c r="R76" s="47">
        <f t="shared" si="23"/>
        <v>0.90705746800701637</v>
      </c>
      <c r="S76" s="27">
        <v>6489.3433999999997</v>
      </c>
      <c r="T76" s="51"/>
      <c r="U76" s="32">
        <f t="shared" si="15"/>
        <v>6489.3433999999997</v>
      </c>
      <c r="V76" s="27">
        <v>520</v>
      </c>
      <c r="W76" s="51"/>
      <c r="X76" s="32">
        <f t="shared" si="16"/>
        <v>520</v>
      </c>
      <c r="Y76" s="27">
        <f>O76</f>
        <v>7476.1697800000002</v>
      </c>
      <c r="Z76" s="51"/>
      <c r="AA76" s="32">
        <f t="shared" si="17"/>
        <v>7476.1697800000002</v>
      </c>
      <c r="AB76" s="47">
        <f t="shared" si="8"/>
        <v>0.90705746800701637</v>
      </c>
    </row>
    <row r="77" spans="1:28" s="49" customFormat="1" ht="12.75">
      <c r="A77" s="23"/>
      <c r="B77" s="31" t="s">
        <v>26</v>
      </c>
      <c r="C77" s="27"/>
      <c r="D77" s="51"/>
      <c r="E77" s="32"/>
      <c r="F77" s="27"/>
      <c r="G77" s="51"/>
      <c r="H77" s="32"/>
      <c r="I77" s="27"/>
      <c r="J77" s="51"/>
      <c r="K77" s="32"/>
      <c r="L77" s="27"/>
      <c r="M77" s="51"/>
      <c r="N77" s="32"/>
      <c r="O77" s="27"/>
      <c r="P77" s="51"/>
      <c r="Q77" s="32"/>
      <c r="R77" s="47"/>
      <c r="S77" s="27"/>
      <c r="T77" s="51"/>
      <c r="U77" s="32"/>
      <c r="V77" s="27"/>
      <c r="W77" s="51"/>
      <c r="X77" s="32"/>
      <c r="Y77" s="27"/>
      <c r="Z77" s="51"/>
      <c r="AA77" s="32"/>
      <c r="AB77" s="47"/>
    </row>
    <row r="78" spans="1:28" s="49" customFormat="1" ht="51">
      <c r="A78" s="23"/>
      <c r="B78" s="31" t="s">
        <v>122</v>
      </c>
      <c r="C78" s="27">
        <v>8068</v>
      </c>
      <c r="D78" s="51"/>
      <c r="E78" s="32">
        <f>C78-D78</f>
        <v>8068</v>
      </c>
      <c r="F78" s="27">
        <v>6739.1500999999998</v>
      </c>
      <c r="G78" s="51"/>
      <c r="H78" s="32">
        <f>F78-G78</f>
        <v>6739.1500999999998</v>
      </c>
      <c r="I78" s="27">
        <f>7299.65522-F78</f>
        <v>560.50511999999981</v>
      </c>
      <c r="J78" s="51"/>
      <c r="K78" s="32">
        <f t="shared" si="18"/>
        <v>560.50511999999981</v>
      </c>
      <c r="L78" s="27">
        <v>5350</v>
      </c>
      <c r="M78" s="51"/>
      <c r="N78" s="32">
        <f t="shared" si="13"/>
        <v>5350</v>
      </c>
      <c r="O78" s="27">
        <v>5438.21965</v>
      </c>
      <c r="P78" s="51"/>
      <c r="Q78" s="32">
        <f t="shared" si="14"/>
        <v>5438.21965</v>
      </c>
      <c r="R78" s="47">
        <f t="shared" si="23"/>
        <v>0.67404804784333172</v>
      </c>
      <c r="S78" s="27">
        <v>4771.1678099999999</v>
      </c>
      <c r="T78" s="51"/>
      <c r="U78" s="32">
        <f t="shared" si="15"/>
        <v>4771.1678099999999</v>
      </c>
      <c r="V78" s="27">
        <v>400</v>
      </c>
      <c r="W78" s="51"/>
      <c r="X78" s="32">
        <f t="shared" si="16"/>
        <v>400</v>
      </c>
      <c r="Y78" s="27">
        <f>O78</f>
        <v>5438.21965</v>
      </c>
      <c r="Z78" s="51"/>
      <c r="AA78" s="32">
        <f t="shared" si="17"/>
        <v>5438.21965</v>
      </c>
      <c r="AB78" s="47">
        <f t="shared" si="8"/>
        <v>0.67404804784333172</v>
      </c>
    </row>
    <row r="79" spans="1:28" s="49" customFormat="1" ht="25.5">
      <c r="A79" s="23"/>
      <c r="B79" s="31" t="s">
        <v>123</v>
      </c>
      <c r="C79" s="27"/>
      <c r="D79" s="51"/>
      <c r="E79" s="32">
        <f>C79-D79</f>
        <v>0</v>
      </c>
      <c r="F79" s="27"/>
      <c r="G79" s="51"/>
      <c r="H79" s="32">
        <f>F79-G79</f>
        <v>0</v>
      </c>
      <c r="I79" s="27"/>
      <c r="J79" s="51"/>
      <c r="K79" s="32">
        <f t="shared" si="18"/>
        <v>0</v>
      </c>
      <c r="L79" s="27">
        <v>1636.2080000000001</v>
      </c>
      <c r="M79" s="51"/>
      <c r="N79" s="32">
        <f t="shared" si="13"/>
        <v>1636.2080000000001</v>
      </c>
      <c r="O79" s="27">
        <v>1888.9501299999999</v>
      </c>
      <c r="P79" s="51"/>
      <c r="Q79" s="32">
        <f t="shared" si="14"/>
        <v>1888.9501299999999</v>
      </c>
      <c r="R79" s="47" t="e">
        <f t="shared" si="23"/>
        <v>#DIV/0!</v>
      </c>
      <c r="S79" s="27">
        <v>1578.81384</v>
      </c>
      <c r="T79" s="51"/>
      <c r="U79" s="32">
        <f t="shared" si="15"/>
        <v>1578.81384</v>
      </c>
      <c r="V79" s="27">
        <v>120</v>
      </c>
      <c r="W79" s="51"/>
      <c r="X79" s="32">
        <f t="shared" si="16"/>
        <v>120</v>
      </c>
      <c r="Y79" s="27">
        <f>O79</f>
        <v>1888.9501299999999</v>
      </c>
      <c r="Z79" s="51"/>
      <c r="AA79" s="32">
        <f t="shared" si="17"/>
        <v>1888.9501299999999</v>
      </c>
      <c r="AB79" s="47" t="e">
        <f t="shared" si="8"/>
        <v>#DIV/0!</v>
      </c>
    </row>
    <row r="80" spans="1:28" s="49" customFormat="1" ht="38.25">
      <c r="A80" s="23" t="s">
        <v>124</v>
      </c>
      <c r="B80" s="31" t="s">
        <v>125</v>
      </c>
      <c r="C80" s="27">
        <v>3678.4535700000001</v>
      </c>
      <c r="D80" s="51"/>
      <c r="E80" s="32">
        <f t="shared" si="0"/>
        <v>3678.4535700000001</v>
      </c>
      <c r="F80" s="27">
        <v>7216.6457099999998</v>
      </c>
      <c r="G80" s="51">
        <v>5.4</v>
      </c>
      <c r="H80" s="32">
        <f t="shared" si="12"/>
        <v>7211.2457100000001</v>
      </c>
      <c r="I80" s="27">
        <f>7783.9708-F80</f>
        <v>567.32509000000027</v>
      </c>
      <c r="J80" s="51">
        <f>8.4-G80</f>
        <v>3</v>
      </c>
      <c r="K80" s="32">
        <f t="shared" si="18"/>
        <v>564.32509000000027</v>
      </c>
      <c r="L80" s="27"/>
      <c r="M80" s="51"/>
      <c r="N80" s="32">
        <f t="shared" si="13"/>
        <v>0</v>
      </c>
      <c r="O80" s="27">
        <v>21187.914000000001</v>
      </c>
      <c r="P80" s="51">
        <v>11.4</v>
      </c>
      <c r="Q80" s="32">
        <f t="shared" si="14"/>
        <v>21176.513999999999</v>
      </c>
      <c r="R80" s="47">
        <f t="shared" si="23"/>
        <v>5.7569066992464437</v>
      </c>
      <c r="S80" s="27">
        <v>7457.3510699999997</v>
      </c>
      <c r="T80" s="51">
        <f>2.265</f>
        <v>2.2650000000000001</v>
      </c>
      <c r="U80" s="32">
        <f t="shared" si="15"/>
        <v>7455.0860699999994</v>
      </c>
      <c r="V80" s="27">
        <v>10600</v>
      </c>
      <c r="W80" s="51"/>
      <c r="X80" s="32">
        <f t="shared" si="16"/>
        <v>10600</v>
      </c>
      <c r="Y80" s="27">
        <f>O80</f>
        <v>21187.914000000001</v>
      </c>
      <c r="Z80" s="51">
        <f>P80</f>
        <v>11.4</v>
      </c>
      <c r="AA80" s="32">
        <f t="shared" si="17"/>
        <v>21176.513999999999</v>
      </c>
      <c r="AB80" s="47">
        <f t="shared" si="8"/>
        <v>5.7569066992464437</v>
      </c>
    </row>
    <row r="81" spans="1:28" s="49" customFormat="1" ht="25.5">
      <c r="A81" s="23" t="s">
        <v>126</v>
      </c>
      <c r="B81" s="31" t="s">
        <v>127</v>
      </c>
      <c r="C81" s="27"/>
      <c r="D81" s="51"/>
      <c r="E81" s="32">
        <f t="shared" si="0"/>
        <v>0</v>
      </c>
      <c r="F81" s="27"/>
      <c r="G81" s="51"/>
      <c r="H81" s="32">
        <f t="shared" si="12"/>
        <v>0</v>
      </c>
      <c r="I81" s="27"/>
      <c r="J81" s="51"/>
      <c r="K81" s="32">
        <f t="shared" si="18"/>
        <v>0</v>
      </c>
      <c r="L81" s="27"/>
      <c r="M81" s="51"/>
      <c r="N81" s="32">
        <f t="shared" si="13"/>
        <v>0</v>
      </c>
      <c r="O81" s="27"/>
      <c r="P81" s="51"/>
      <c r="Q81" s="32">
        <f t="shared" si="14"/>
        <v>0</v>
      </c>
      <c r="R81" s="47" t="e">
        <f t="shared" si="23"/>
        <v>#DIV/0!</v>
      </c>
      <c r="S81" s="27"/>
      <c r="T81" s="51"/>
      <c r="U81" s="32">
        <f t="shared" si="15"/>
        <v>0</v>
      </c>
      <c r="V81" s="27"/>
      <c r="W81" s="51"/>
      <c r="X81" s="32">
        <f t="shared" si="16"/>
        <v>0</v>
      </c>
      <c r="Y81" s="27"/>
      <c r="Z81" s="51"/>
      <c r="AA81" s="32">
        <f t="shared" si="17"/>
        <v>0</v>
      </c>
      <c r="AB81" s="47" t="e">
        <f t="shared" si="8"/>
        <v>#DIV/0!</v>
      </c>
    </row>
    <row r="82" spans="1:28" s="49" customFormat="1" ht="38.25">
      <c r="A82" s="23" t="s">
        <v>128</v>
      </c>
      <c r="B82" s="31" t="s">
        <v>129</v>
      </c>
      <c r="C82" s="27"/>
      <c r="D82" s="51"/>
      <c r="E82" s="32">
        <f t="shared" si="0"/>
        <v>0</v>
      </c>
      <c r="F82" s="27"/>
      <c r="G82" s="51"/>
      <c r="H82" s="32">
        <f t="shared" si="12"/>
        <v>0</v>
      </c>
      <c r="I82" s="27"/>
      <c r="J82" s="51"/>
      <c r="K82" s="32">
        <f t="shared" si="18"/>
        <v>0</v>
      </c>
      <c r="L82" s="27"/>
      <c r="M82" s="51"/>
      <c r="N82" s="32">
        <f t="shared" si="13"/>
        <v>0</v>
      </c>
      <c r="O82" s="27">
        <v>1248</v>
      </c>
      <c r="P82" s="51"/>
      <c r="Q82" s="32">
        <f t="shared" si="14"/>
        <v>1248</v>
      </c>
      <c r="R82" s="47" t="e">
        <f t="shared" si="23"/>
        <v>#DIV/0!</v>
      </c>
      <c r="S82" s="27">
        <v>1247.4190000000001</v>
      </c>
      <c r="T82" s="51"/>
      <c r="U82" s="32">
        <f t="shared" si="15"/>
        <v>1247.4190000000001</v>
      </c>
      <c r="V82" s="27">
        <v>0</v>
      </c>
      <c r="W82" s="51"/>
      <c r="X82" s="32">
        <f t="shared" si="16"/>
        <v>0</v>
      </c>
      <c r="Y82" s="27">
        <f>O82</f>
        <v>1248</v>
      </c>
      <c r="Z82" s="51"/>
      <c r="AA82" s="32">
        <f t="shared" si="17"/>
        <v>1248</v>
      </c>
      <c r="AB82" s="47" t="e">
        <f t="shared" si="8"/>
        <v>#DIV/0!</v>
      </c>
    </row>
    <row r="83" spans="1:28" s="49" customFormat="1" ht="12.75">
      <c r="A83" s="23" t="s">
        <v>130</v>
      </c>
      <c r="B83" s="31" t="s">
        <v>94</v>
      </c>
      <c r="C83" s="27"/>
      <c r="D83" s="51"/>
      <c r="E83" s="32">
        <f t="shared" si="0"/>
        <v>0</v>
      </c>
      <c r="F83" s="27"/>
      <c r="G83" s="51"/>
      <c r="H83" s="32">
        <f t="shared" si="12"/>
        <v>0</v>
      </c>
      <c r="I83" s="27"/>
      <c r="J83" s="51"/>
      <c r="K83" s="32">
        <f t="shared" si="18"/>
        <v>0</v>
      </c>
      <c r="L83" s="27"/>
      <c r="M83" s="51"/>
      <c r="N83" s="32">
        <f t="shared" si="13"/>
        <v>0</v>
      </c>
      <c r="O83" s="27"/>
      <c r="P83" s="51"/>
      <c r="Q83" s="32">
        <f t="shared" si="14"/>
        <v>0</v>
      </c>
      <c r="R83" s="47" t="e">
        <f t="shared" si="23"/>
        <v>#DIV/0!</v>
      </c>
      <c r="S83" s="27"/>
      <c r="T83" s="51"/>
      <c r="U83" s="32">
        <f t="shared" si="15"/>
        <v>0</v>
      </c>
      <c r="V83" s="27"/>
      <c r="W83" s="51"/>
      <c r="X83" s="32">
        <f t="shared" si="16"/>
        <v>0</v>
      </c>
      <c r="Y83" s="27"/>
      <c r="Z83" s="51"/>
      <c r="AA83" s="32">
        <f t="shared" si="17"/>
        <v>0</v>
      </c>
      <c r="AB83" s="47" t="e">
        <f t="shared" si="8"/>
        <v>#DIV/0!</v>
      </c>
    </row>
    <row r="84" spans="1:28" s="65" customFormat="1" ht="25.5">
      <c r="A84" s="23" t="s">
        <v>131</v>
      </c>
      <c r="B84" s="31" t="s">
        <v>132</v>
      </c>
      <c r="C84" s="27">
        <f>C86+C87+C88</f>
        <v>0</v>
      </c>
      <c r="D84" s="63"/>
      <c r="E84" s="32">
        <f t="shared" si="0"/>
        <v>0</v>
      </c>
      <c r="F84" s="27"/>
      <c r="G84" s="63"/>
      <c r="H84" s="32">
        <f t="shared" si="12"/>
        <v>0</v>
      </c>
      <c r="I84" s="27"/>
      <c r="J84" s="63"/>
      <c r="K84" s="32">
        <f t="shared" si="18"/>
        <v>0</v>
      </c>
      <c r="L84" s="27"/>
      <c r="M84" s="63"/>
      <c r="N84" s="32">
        <f t="shared" si="13"/>
        <v>0</v>
      </c>
      <c r="O84" s="27">
        <v>5.0382199999999999</v>
      </c>
      <c r="P84" s="63"/>
      <c r="Q84" s="32">
        <f t="shared" si="14"/>
        <v>5.0382199999999999</v>
      </c>
      <c r="R84" s="47" t="e">
        <f t="shared" si="23"/>
        <v>#DIV/0!</v>
      </c>
      <c r="S84" s="27">
        <v>5.0382199999999999</v>
      </c>
      <c r="T84" s="63"/>
      <c r="U84" s="32">
        <f t="shared" si="15"/>
        <v>5.0382199999999999</v>
      </c>
      <c r="V84" s="27"/>
      <c r="W84" s="63"/>
      <c r="X84" s="32">
        <f t="shared" si="16"/>
        <v>0</v>
      </c>
      <c r="Y84" s="27">
        <f>O84</f>
        <v>5.0382199999999999</v>
      </c>
      <c r="Z84" s="63"/>
      <c r="AA84" s="32">
        <f t="shared" si="17"/>
        <v>5.0382199999999999</v>
      </c>
      <c r="AB84" s="47" t="e">
        <f t="shared" si="8"/>
        <v>#DIV/0!</v>
      </c>
    </row>
    <row r="85" spans="1:28" s="65" customFormat="1" ht="12.75">
      <c r="A85" s="23"/>
      <c r="B85" s="31" t="s">
        <v>26</v>
      </c>
      <c r="C85" s="27"/>
      <c r="D85" s="63"/>
      <c r="E85" s="32"/>
      <c r="F85" s="27"/>
      <c r="G85" s="63"/>
      <c r="H85" s="32"/>
      <c r="I85" s="27"/>
      <c r="J85" s="63"/>
      <c r="K85" s="32"/>
      <c r="L85" s="27"/>
      <c r="M85" s="63"/>
      <c r="N85" s="32"/>
      <c r="O85" s="27"/>
      <c r="P85" s="63"/>
      <c r="Q85" s="32"/>
      <c r="R85" s="47"/>
      <c r="S85" s="27"/>
      <c r="T85" s="63"/>
      <c r="U85" s="32"/>
      <c r="V85" s="27"/>
      <c r="W85" s="63"/>
      <c r="X85" s="32"/>
      <c r="Y85" s="27"/>
      <c r="Z85" s="63"/>
      <c r="AA85" s="32"/>
      <c r="AB85" s="47"/>
    </row>
    <row r="86" spans="1:28" s="65" customFormat="1" ht="76.5">
      <c r="A86" s="23"/>
      <c r="B86" s="31" t="s">
        <v>133</v>
      </c>
      <c r="C86" s="27"/>
      <c r="D86" s="63"/>
      <c r="E86" s="32">
        <f>C86-D86</f>
        <v>0</v>
      </c>
      <c r="F86" s="27"/>
      <c r="G86" s="63"/>
      <c r="H86" s="32">
        <f>F86-G86</f>
        <v>0</v>
      </c>
      <c r="I86" s="27"/>
      <c r="J86" s="63"/>
      <c r="K86" s="32">
        <f>I86-J86</f>
        <v>0</v>
      </c>
      <c r="L86" s="27"/>
      <c r="M86" s="63"/>
      <c r="N86" s="32">
        <f>L86-M86</f>
        <v>0</v>
      </c>
      <c r="O86" s="27"/>
      <c r="P86" s="63"/>
      <c r="Q86" s="32">
        <f>O86-P86</f>
        <v>0</v>
      </c>
      <c r="R86" s="47" t="e">
        <f t="shared" si="23"/>
        <v>#DIV/0!</v>
      </c>
      <c r="S86" s="27"/>
      <c r="T86" s="63"/>
      <c r="U86" s="32">
        <f>S86-T86</f>
        <v>0</v>
      </c>
      <c r="V86" s="27"/>
      <c r="W86" s="63"/>
      <c r="X86" s="32">
        <f>V86-W86</f>
        <v>0</v>
      </c>
      <c r="Y86" s="27"/>
      <c r="Z86" s="63"/>
      <c r="AA86" s="32">
        <f>Y86-Z86</f>
        <v>0</v>
      </c>
      <c r="AB86" s="47" t="e">
        <f>AA86/E86</f>
        <v>#DIV/0!</v>
      </c>
    </row>
    <row r="87" spans="1:28" s="65" customFormat="1" ht="25.5">
      <c r="A87" s="23"/>
      <c r="B87" s="31" t="s">
        <v>134</v>
      </c>
      <c r="C87" s="27"/>
      <c r="D87" s="63"/>
      <c r="E87" s="32">
        <f>C87-D87</f>
        <v>0</v>
      </c>
      <c r="F87" s="27"/>
      <c r="G87" s="63"/>
      <c r="H87" s="32">
        <f>F87-G87</f>
        <v>0</v>
      </c>
      <c r="I87" s="27"/>
      <c r="J87" s="63"/>
      <c r="K87" s="32">
        <f>I87-J87</f>
        <v>0</v>
      </c>
      <c r="L87" s="27"/>
      <c r="M87" s="63"/>
      <c r="N87" s="32">
        <f>L87-M87</f>
        <v>0</v>
      </c>
      <c r="O87" s="27">
        <v>5.0382199999999999</v>
      </c>
      <c r="P87" s="63"/>
      <c r="Q87" s="32">
        <f>O87-P87</f>
        <v>5.0382199999999999</v>
      </c>
      <c r="R87" s="47" t="e">
        <f t="shared" si="23"/>
        <v>#DIV/0!</v>
      </c>
      <c r="S87" s="27">
        <v>5.0382199999999999</v>
      </c>
      <c r="T87" s="63"/>
      <c r="U87" s="32">
        <f>S87-T87</f>
        <v>5.0382199999999999</v>
      </c>
      <c r="V87" s="27"/>
      <c r="W87" s="63"/>
      <c r="X87" s="32">
        <f>V87-W87</f>
        <v>0</v>
      </c>
      <c r="Y87" s="27"/>
      <c r="Z87" s="63"/>
      <c r="AA87" s="32">
        <f>Y87-Z87</f>
        <v>0</v>
      </c>
      <c r="AB87" s="47" t="e">
        <f>AA87/E87</f>
        <v>#DIV/0!</v>
      </c>
    </row>
    <row r="88" spans="1:28" s="65" customFormat="1" ht="25.5">
      <c r="A88" s="23"/>
      <c r="B88" s="31" t="s">
        <v>135</v>
      </c>
      <c r="C88" s="27"/>
      <c r="D88" s="63"/>
      <c r="E88" s="32">
        <f>C88-D88</f>
        <v>0</v>
      </c>
      <c r="F88" s="27"/>
      <c r="G88" s="63"/>
      <c r="H88" s="32">
        <f>F88-G88</f>
        <v>0</v>
      </c>
      <c r="I88" s="27"/>
      <c r="J88" s="63"/>
      <c r="K88" s="32">
        <f>I88-J88</f>
        <v>0</v>
      </c>
      <c r="L88" s="27">
        <v>0</v>
      </c>
      <c r="M88" s="63"/>
      <c r="N88" s="32">
        <f>L88-M88</f>
        <v>0</v>
      </c>
      <c r="O88" s="27">
        <v>0</v>
      </c>
      <c r="P88" s="63"/>
      <c r="Q88" s="32">
        <f>O88-P88</f>
        <v>0</v>
      </c>
      <c r="R88" s="47" t="e">
        <f t="shared" si="23"/>
        <v>#DIV/0!</v>
      </c>
      <c r="S88" s="27"/>
      <c r="T88" s="63"/>
      <c r="U88" s="32">
        <f>S88-T88</f>
        <v>0</v>
      </c>
      <c r="V88" s="27"/>
      <c r="W88" s="63"/>
      <c r="X88" s="32">
        <f>V88-W88</f>
        <v>0</v>
      </c>
      <c r="Y88" s="27">
        <f>O88</f>
        <v>0</v>
      </c>
      <c r="Z88" s="63"/>
      <c r="AA88" s="32">
        <f>Y88-Z88</f>
        <v>0</v>
      </c>
      <c r="AB88" s="47" t="e">
        <f>AA88/E88</f>
        <v>#DIV/0!</v>
      </c>
    </row>
    <row r="89" spans="1:28" s="68" customFormat="1" ht="12.75">
      <c r="A89" s="66"/>
      <c r="B89" s="14" t="s">
        <v>136</v>
      </c>
      <c r="C89" s="67">
        <f>C48</f>
        <v>57817.820950000001</v>
      </c>
      <c r="D89" s="67">
        <f>D48</f>
        <v>2002.5655899999999</v>
      </c>
      <c r="E89" s="15">
        <f>C89-D89</f>
        <v>55815.255360000003</v>
      </c>
      <c r="F89" s="67">
        <f>F48</f>
        <v>47187.760520000011</v>
      </c>
      <c r="G89" s="67">
        <f>G48</f>
        <v>188.30587</v>
      </c>
      <c r="H89" s="15">
        <f t="shared" si="12"/>
        <v>46999.454650000014</v>
      </c>
      <c r="I89" s="67">
        <f>I48</f>
        <v>3979.0051700000022</v>
      </c>
      <c r="J89" s="67">
        <f>J48</f>
        <v>2151.8595399999999</v>
      </c>
      <c r="K89" s="15">
        <f t="shared" si="18"/>
        <v>1827.1456300000023</v>
      </c>
      <c r="L89" s="67">
        <f>L48</f>
        <v>59057.429119999993</v>
      </c>
      <c r="M89" s="67">
        <f>M48</f>
        <v>428.99300000000005</v>
      </c>
      <c r="N89" s="15">
        <f t="shared" si="13"/>
        <v>58628.436119999991</v>
      </c>
      <c r="O89" s="67">
        <f>O48</f>
        <v>81701.000149999993</v>
      </c>
      <c r="P89" s="67">
        <f>P48</f>
        <v>10587.075350000001</v>
      </c>
      <c r="Q89" s="15">
        <f t="shared" si="14"/>
        <v>71113.924799999993</v>
      </c>
      <c r="R89" s="16">
        <f>Q89/E89</f>
        <v>1.2740947674847294</v>
      </c>
      <c r="S89" s="67">
        <f>S48</f>
        <v>52043.604910000002</v>
      </c>
      <c r="T89" s="67">
        <f>T48</f>
        <v>582.63415999999995</v>
      </c>
      <c r="U89" s="15">
        <f t="shared" si="15"/>
        <v>51460.97075</v>
      </c>
      <c r="V89" s="67">
        <f>V48</f>
        <v>16530</v>
      </c>
      <c r="W89" s="67">
        <f>W48</f>
        <v>8412</v>
      </c>
      <c r="X89" s="15">
        <f t="shared" si="16"/>
        <v>8118</v>
      </c>
      <c r="Y89" s="67">
        <f>Y48</f>
        <v>78200.510899999994</v>
      </c>
      <c r="Z89" s="67">
        <f>Z48</f>
        <v>10587.075350000001</v>
      </c>
      <c r="AA89" s="15">
        <f>Y89-Z89</f>
        <v>67613.435549999995</v>
      </c>
      <c r="AB89" s="16">
        <f>AA89/E89</f>
        <v>1.211379131276987</v>
      </c>
    </row>
    <row r="90" spans="1:28" s="37" customFormat="1" ht="14.25">
      <c r="A90" s="35"/>
      <c r="B90" s="69" t="s">
        <v>137</v>
      </c>
      <c r="C90" s="70">
        <f t="shared" ref="C90:Z90" si="24">C47-C48</f>
        <v>-1368.7606099999975</v>
      </c>
      <c r="D90" s="70">
        <f t="shared" si="24"/>
        <v>0</v>
      </c>
      <c r="E90" s="70">
        <f t="shared" si="24"/>
        <v>-1368.7606099999975</v>
      </c>
      <c r="F90" s="70">
        <f t="shared" si="24"/>
        <v>-5362.5544200000077</v>
      </c>
      <c r="G90" s="70">
        <f t="shared" si="24"/>
        <v>4.8103600000000029</v>
      </c>
      <c r="H90" s="70">
        <f t="shared" si="24"/>
        <v>-5367.3647800000108</v>
      </c>
      <c r="I90" s="70">
        <f t="shared" si="24"/>
        <v>940.97196999999869</v>
      </c>
      <c r="J90" s="70">
        <f t="shared" si="24"/>
        <v>-1008.7003500000001</v>
      </c>
      <c r="K90" s="70">
        <f t="shared" si="24"/>
        <v>1949.6723199999988</v>
      </c>
      <c r="L90" s="70">
        <f t="shared" si="24"/>
        <v>-4633.9851199999976</v>
      </c>
      <c r="M90" s="70">
        <f t="shared" si="24"/>
        <v>0</v>
      </c>
      <c r="N90" s="70">
        <f t="shared" si="24"/>
        <v>-4633.9851199999976</v>
      </c>
      <c r="O90" s="70">
        <f t="shared" si="24"/>
        <v>-7480.4047999999893</v>
      </c>
      <c r="P90" s="70">
        <f t="shared" si="24"/>
        <v>0</v>
      </c>
      <c r="Q90" s="70">
        <f t="shared" si="24"/>
        <v>-7480.4047999999893</v>
      </c>
      <c r="R90" s="70">
        <v>0</v>
      </c>
      <c r="S90" s="70">
        <f t="shared" si="24"/>
        <v>-4257.8122300000032</v>
      </c>
      <c r="T90" s="70">
        <f t="shared" si="24"/>
        <v>198.95087000000001</v>
      </c>
      <c r="U90" s="70">
        <f>U47-U48</f>
        <v>-4456.7631000000038</v>
      </c>
      <c r="V90" s="70">
        <f t="shared" si="24"/>
        <v>-2900</v>
      </c>
      <c r="W90" s="70">
        <f t="shared" si="24"/>
        <v>426</v>
      </c>
      <c r="X90" s="70">
        <f t="shared" si="24"/>
        <v>-3326</v>
      </c>
      <c r="Y90" s="70">
        <f>Y47-Y48</f>
        <v>-7657.5436499999923</v>
      </c>
      <c r="Z90" s="70">
        <f t="shared" si="24"/>
        <v>0</v>
      </c>
      <c r="AA90" s="70">
        <f>AA47-AA48+0.9</f>
        <v>-7656.6436499999927</v>
      </c>
      <c r="AB90" s="22"/>
    </row>
    <row r="91" spans="1:28" ht="25.5">
      <c r="A91" s="18" t="s">
        <v>138</v>
      </c>
      <c r="B91" s="71" t="s">
        <v>139</v>
      </c>
      <c r="C91" s="72">
        <f>C93+C94+C98+C101</f>
        <v>1368.7606099999975</v>
      </c>
      <c r="D91" s="72" t="s">
        <v>140</v>
      </c>
      <c r="E91" s="73" t="s">
        <v>140</v>
      </c>
      <c r="F91" s="72">
        <f>F93+F94+F98+F101</f>
        <v>5362.5544200000077</v>
      </c>
      <c r="G91" s="72" t="s">
        <v>140</v>
      </c>
      <c r="H91" s="72" t="s">
        <v>140</v>
      </c>
      <c r="I91" s="72">
        <f>I93+I94+I98+I101</f>
        <v>-940.97196999999869</v>
      </c>
      <c r="J91" s="72" t="s">
        <v>140</v>
      </c>
      <c r="K91" s="72" t="s">
        <v>140</v>
      </c>
      <c r="L91" s="74">
        <f>L93+L94+L98+L101</f>
        <v>4633.9851199999976</v>
      </c>
      <c r="M91" s="72" t="s">
        <v>140</v>
      </c>
      <c r="N91" s="72" t="s">
        <v>140</v>
      </c>
      <c r="O91" s="74">
        <f>O93+O94+O98+O101</f>
        <v>7480.4047999999893</v>
      </c>
      <c r="P91" s="72" t="s">
        <v>140</v>
      </c>
      <c r="Q91" s="72" t="s">
        <v>140</v>
      </c>
      <c r="R91" s="22"/>
      <c r="S91" s="74">
        <f>S93+S94+S98+S101</f>
        <v>4257.8122300000032</v>
      </c>
      <c r="T91" s="72" t="s">
        <v>140</v>
      </c>
      <c r="U91" s="72" t="s">
        <v>140</v>
      </c>
      <c r="V91" s="74">
        <f>V93+V94+V98+V101</f>
        <v>2900</v>
      </c>
      <c r="W91" s="74" t="s">
        <v>140</v>
      </c>
      <c r="X91" s="74" t="s">
        <v>140</v>
      </c>
      <c r="Y91" s="74">
        <f>Y93+Y94+Y98+Y101</f>
        <v>7657.5436499999923</v>
      </c>
      <c r="Z91" s="72" t="s">
        <v>140</v>
      </c>
      <c r="AA91" s="72">
        <f>AA93</f>
        <v>7480.4048000000003</v>
      </c>
      <c r="AB91" s="22"/>
    </row>
    <row r="92" spans="1:28" s="7" customFormat="1" ht="12.75">
      <c r="A92" s="18"/>
      <c r="B92" s="24" t="s">
        <v>26</v>
      </c>
      <c r="C92" s="72"/>
      <c r="D92" s="72"/>
      <c r="E92" s="73"/>
      <c r="F92" s="72"/>
      <c r="G92" s="72"/>
      <c r="H92" s="72"/>
      <c r="I92" s="72"/>
      <c r="J92" s="72"/>
      <c r="K92" s="72"/>
      <c r="L92" s="75"/>
      <c r="M92" s="72"/>
      <c r="N92" s="72"/>
      <c r="O92" s="75"/>
      <c r="P92" s="72"/>
      <c r="Q92" s="72"/>
      <c r="R92" s="22"/>
      <c r="S92" s="75"/>
      <c r="T92" s="72"/>
      <c r="U92" s="72"/>
      <c r="V92" s="75"/>
      <c r="W92" s="75"/>
      <c r="X92" s="75"/>
      <c r="Y92" s="75"/>
      <c r="Z92" s="72"/>
      <c r="AA92" s="72"/>
      <c r="AB92" s="22"/>
    </row>
    <row r="93" spans="1:28" s="7" customFormat="1" ht="12.75">
      <c r="A93" s="18" t="s">
        <v>141</v>
      </c>
      <c r="B93" s="71" t="s">
        <v>142</v>
      </c>
      <c r="C93" s="72">
        <f>(C89+(-C96)+(-C100)-(C47+C95+C99)+(-C101))</f>
        <v>1368.7606099999975</v>
      </c>
      <c r="D93" s="72" t="s">
        <v>140</v>
      </c>
      <c r="E93" s="73" t="s">
        <v>140</v>
      </c>
      <c r="F93" s="72">
        <f>(F89+(-F96)+(-F100)-(F47+F95+F99)+(-F101))</f>
        <v>5362.5544200000077</v>
      </c>
      <c r="G93" s="72">
        <v>0</v>
      </c>
      <c r="H93" s="72" t="s">
        <v>140</v>
      </c>
      <c r="I93" s="72">
        <f>(I89+(-I96)+(-I100)-(I47+I95+I99)+(-I101))</f>
        <v>-940.97196999999869</v>
      </c>
      <c r="J93" s="72" t="s">
        <v>140</v>
      </c>
      <c r="K93" s="72" t="s">
        <v>140</v>
      </c>
      <c r="L93" s="72">
        <f>(L89+(-L96)+(-L100)-(L47+L95+L99)+(-L101))</f>
        <v>4633.9851199999976</v>
      </c>
      <c r="M93" s="72" t="s">
        <v>140</v>
      </c>
      <c r="N93" s="72" t="s">
        <v>140</v>
      </c>
      <c r="O93" s="72">
        <f>(O89+(-O96)+(-O100)-(O47+O95+O99)+(-O101))</f>
        <v>7480.4047999999893</v>
      </c>
      <c r="P93" s="72" t="s">
        <v>140</v>
      </c>
      <c r="Q93" s="72" t="s">
        <v>140</v>
      </c>
      <c r="R93" s="22"/>
      <c r="S93" s="72">
        <f>(S89+(-S96)+(-S100)-(S47+S95+S99)+(-S101))</f>
        <v>4257.8122300000032</v>
      </c>
      <c r="T93" s="72" t="s">
        <v>140</v>
      </c>
      <c r="U93" s="72" t="s">
        <v>140</v>
      </c>
      <c r="V93" s="72">
        <f>(V89+(-V96)+(-V100)-(V47+V95+V99)+(-V101))</f>
        <v>2900</v>
      </c>
      <c r="W93" s="72" t="s">
        <v>140</v>
      </c>
      <c r="X93" s="72" t="s">
        <v>140</v>
      </c>
      <c r="Y93" s="72">
        <f>(Y89+(-Y96)+(-Y100)-(Y47+Y95+Y99)+(-Y101))</f>
        <v>7657.5436499999923</v>
      </c>
      <c r="Z93" s="72" t="s">
        <v>140</v>
      </c>
      <c r="AA93" s="72">
        <f>7480.4048</f>
        <v>7480.4048000000003</v>
      </c>
      <c r="AB93" s="22"/>
    </row>
    <row r="94" spans="1:28" ht="25.5">
      <c r="A94" s="18" t="s">
        <v>143</v>
      </c>
      <c r="B94" s="71" t="s">
        <v>144</v>
      </c>
      <c r="C94" s="72">
        <f>C95+C96+C97</f>
        <v>0</v>
      </c>
      <c r="D94" s="72" t="s">
        <v>140</v>
      </c>
      <c r="E94" s="73" t="s">
        <v>140</v>
      </c>
      <c r="F94" s="72">
        <f>F95+F96+F97</f>
        <v>0</v>
      </c>
      <c r="G94" s="72" t="s">
        <v>140</v>
      </c>
      <c r="H94" s="72" t="s">
        <v>140</v>
      </c>
      <c r="I94" s="72">
        <f>I95+I96+I97</f>
        <v>0</v>
      </c>
      <c r="J94" s="72" t="s">
        <v>140</v>
      </c>
      <c r="K94" s="72" t="s">
        <v>140</v>
      </c>
      <c r="L94" s="72">
        <f>L95+L96+L97</f>
        <v>0</v>
      </c>
      <c r="M94" s="72" t="s">
        <v>140</v>
      </c>
      <c r="N94" s="72" t="s">
        <v>140</v>
      </c>
      <c r="O94" s="72">
        <f>O95+O96+O97</f>
        <v>0</v>
      </c>
      <c r="P94" s="72" t="s">
        <v>140</v>
      </c>
      <c r="Q94" s="72" t="s">
        <v>140</v>
      </c>
      <c r="R94" s="22"/>
      <c r="S94" s="72">
        <f>S95+S96+S97</f>
        <v>0</v>
      </c>
      <c r="T94" s="72" t="s">
        <v>140</v>
      </c>
      <c r="U94" s="72" t="s">
        <v>140</v>
      </c>
      <c r="V94" s="72">
        <f>V95+V96+V97</f>
        <v>0</v>
      </c>
      <c r="W94" s="72" t="s">
        <v>140</v>
      </c>
      <c r="X94" s="72" t="s">
        <v>140</v>
      </c>
      <c r="Y94" s="72">
        <f>Y95+Y96+Y97</f>
        <v>0</v>
      </c>
      <c r="Z94" s="72" t="s">
        <v>140</v>
      </c>
      <c r="AA94" s="72" t="s">
        <v>140</v>
      </c>
      <c r="AB94" s="22"/>
    </row>
    <row r="95" spans="1:28" ht="12.75">
      <c r="A95" s="18"/>
      <c r="B95" s="24" t="s">
        <v>145</v>
      </c>
      <c r="C95" s="76">
        <v>0</v>
      </c>
      <c r="D95" s="72" t="s">
        <v>140</v>
      </c>
      <c r="E95" s="73" t="s">
        <v>140</v>
      </c>
      <c r="F95" s="76"/>
      <c r="G95" s="72" t="s">
        <v>140</v>
      </c>
      <c r="H95" s="72" t="s">
        <v>140</v>
      </c>
      <c r="I95" s="76"/>
      <c r="J95" s="72" t="s">
        <v>140</v>
      </c>
      <c r="K95" s="72" t="s">
        <v>140</v>
      </c>
      <c r="L95" s="76"/>
      <c r="M95" s="72" t="s">
        <v>140</v>
      </c>
      <c r="N95" s="72" t="s">
        <v>140</v>
      </c>
      <c r="O95" s="76"/>
      <c r="P95" s="72" t="s">
        <v>140</v>
      </c>
      <c r="Q95" s="72" t="s">
        <v>140</v>
      </c>
      <c r="R95" s="22"/>
      <c r="S95" s="76"/>
      <c r="T95" s="72" t="s">
        <v>140</v>
      </c>
      <c r="U95" s="72" t="s">
        <v>140</v>
      </c>
      <c r="V95" s="76"/>
      <c r="W95" s="72" t="s">
        <v>140</v>
      </c>
      <c r="X95" s="72" t="s">
        <v>140</v>
      </c>
      <c r="Y95" s="76"/>
      <c r="Z95" s="72" t="s">
        <v>140</v>
      </c>
      <c r="AA95" s="72" t="s">
        <v>140</v>
      </c>
      <c r="AB95" s="22"/>
    </row>
    <row r="96" spans="1:28" s="7" customFormat="1" ht="22.5">
      <c r="A96" s="18"/>
      <c r="B96" s="6" t="s">
        <v>146</v>
      </c>
      <c r="C96" s="76">
        <v>0</v>
      </c>
      <c r="D96" s="72" t="s">
        <v>140</v>
      </c>
      <c r="E96" s="73" t="s">
        <v>140</v>
      </c>
      <c r="F96" s="76"/>
      <c r="G96" s="72" t="s">
        <v>140</v>
      </c>
      <c r="H96" s="72" t="s">
        <v>140</v>
      </c>
      <c r="I96" s="76"/>
      <c r="J96" s="72" t="s">
        <v>140</v>
      </c>
      <c r="K96" s="72" t="s">
        <v>140</v>
      </c>
      <c r="L96" s="76"/>
      <c r="M96" s="72" t="s">
        <v>140</v>
      </c>
      <c r="N96" s="72" t="s">
        <v>140</v>
      </c>
      <c r="O96" s="76"/>
      <c r="P96" s="72" t="s">
        <v>140</v>
      </c>
      <c r="Q96" s="72" t="s">
        <v>140</v>
      </c>
      <c r="R96" s="22"/>
      <c r="S96" s="76"/>
      <c r="T96" s="72" t="s">
        <v>140</v>
      </c>
      <c r="U96" s="72" t="s">
        <v>140</v>
      </c>
      <c r="V96" s="76"/>
      <c r="W96" s="72" t="s">
        <v>140</v>
      </c>
      <c r="X96" s="72" t="s">
        <v>140</v>
      </c>
      <c r="Y96" s="76"/>
      <c r="Z96" s="72" t="s">
        <v>140</v>
      </c>
      <c r="AA96" s="72" t="s">
        <v>140</v>
      </c>
      <c r="AB96" s="22"/>
    </row>
    <row r="97" spans="1:28" s="7" customFormat="1" ht="12.75">
      <c r="A97" s="18"/>
      <c r="B97" s="24" t="s">
        <v>147</v>
      </c>
      <c r="C97" s="76">
        <v>0</v>
      </c>
      <c r="D97" s="72"/>
      <c r="E97" s="73"/>
      <c r="F97" s="76"/>
      <c r="G97" s="72"/>
      <c r="H97" s="72"/>
      <c r="I97" s="76"/>
      <c r="J97" s="72"/>
      <c r="K97" s="72"/>
      <c r="L97" s="76"/>
      <c r="M97" s="72"/>
      <c r="N97" s="72"/>
      <c r="O97" s="76"/>
      <c r="P97" s="72"/>
      <c r="Q97" s="72"/>
      <c r="R97" s="22"/>
      <c r="S97" s="76"/>
      <c r="T97" s="72"/>
      <c r="U97" s="72"/>
      <c r="V97" s="76"/>
      <c r="W97" s="72"/>
      <c r="X97" s="72"/>
      <c r="Y97" s="76"/>
      <c r="Z97" s="72"/>
      <c r="AA97" s="72"/>
      <c r="AB97" s="22"/>
    </row>
    <row r="98" spans="1:28" ht="12.75">
      <c r="A98" s="18" t="s">
        <v>148</v>
      </c>
      <c r="B98" s="71" t="s">
        <v>149</v>
      </c>
      <c r="C98" s="72">
        <f>C99+C100</f>
        <v>0</v>
      </c>
      <c r="D98" s="72" t="s">
        <v>140</v>
      </c>
      <c r="E98" s="73" t="s">
        <v>140</v>
      </c>
      <c r="F98" s="72">
        <f>F99+F100</f>
        <v>0</v>
      </c>
      <c r="G98" s="72" t="s">
        <v>140</v>
      </c>
      <c r="H98" s="72" t="s">
        <v>140</v>
      </c>
      <c r="I98" s="72">
        <f>I99+I100</f>
        <v>0</v>
      </c>
      <c r="J98" s="72" t="s">
        <v>140</v>
      </c>
      <c r="K98" s="72" t="s">
        <v>140</v>
      </c>
      <c r="L98" s="72">
        <f>L99+L100</f>
        <v>0</v>
      </c>
      <c r="M98" s="72" t="s">
        <v>140</v>
      </c>
      <c r="N98" s="72" t="s">
        <v>140</v>
      </c>
      <c r="O98" s="72">
        <f>O99+O100</f>
        <v>0</v>
      </c>
      <c r="P98" s="72" t="s">
        <v>140</v>
      </c>
      <c r="Q98" s="72" t="s">
        <v>140</v>
      </c>
      <c r="R98" s="22"/>
      <c r="S98" s="72">
        <f>S99+S100</f>
        <v>0</v>
      </c>
      <c r="T98" s="72" t="s">
        <v>140</v>
      </c>
      <c r="U98" s="72" t="s">
        <v>140</v>
      </c>
      <c r="V98" s="72">
        <f>V99+V100</f>
        <v>0</v>
      </c>
      <c r="W98" s="72" t="s">
        <v>140</v>
      </c>
      <c r="X98" s="72" t="s">
        <v>140</v>
      </c>
      <c r="Y98" s="72">
        <f>Y99+Y100</f>
        <v>0</v>
      </c>
      <c r="Z98" s="72" t="s">
        <v>140</v>
      </c>
      <c r="AA98" s="72" t="s">
        <v>140</v>
      </c>
      <c r="AB98" s="22"/>
    </row>
    <row r="99" spans="1:28" ht="12.75">
      <c r="A99" s="23"/>
      <c r="B99" s="24" t="s">
        <v>150</v>
      </c>
      <c r="C99" s="76"/>
      <c r="D99" s="72" t="s">
        <v>140</v>
      </c>
      <c r="E99" s="73" t="s">
        <v>140</v>
      </c>
      <c r="F99" s="76"/>
      <c r="G99" s="72" t="s">
        <v>140</v>
      </c>
      <c r="H99" s="72" t="s">
        <v>140</v>
      </c>
      <c r="I99" s="76"/>
      <c r="J99" s="72" t="s">
        <v>140</v>
      </c>
      <c r="K99" s="72" t="s">
        <v>140</v>
      </c>
      <c r="L99" s="76"/>
      <c r="M99" s="72" t="s">
        <v>140</v>
      </c>
      <c r="N99" s="72" t="s">
        <v>140</v>
      </c>
      <c r="O99" s="76"/>
      <c r="P99" s="72" t="s">
        <v>140</v>
      </c>
      <c r="Q99" s="72" t="s">
        <v>140</v>
      </c>
      <c r="R99" s="22"/>
      <c r="S99" s="76"/>
      <c r="T99" s="72" t="s">
        <v>140</v>
      </c>
      <c r="U99" s="72" t="s">
        <v>140</v>
      </c>
      <c r="V99" s="76"/>
      <c r="W99" s="72" t="s">
        <v>140</v>
      </c>
      <c r="X99" s="72" t="s">
        <v>140</v>
      </c>
      <c r="Y99" s="76"/>
      <c r="Z99" s="72" t="s">
        <v>140</v>
      </c>
      <c r="AA99" s="72" t="s">
        <v>140</v>
      </c>
      <c r="AB99" s="22"/>
    </row>
    <row r="100" spans="1:28" s="7" customFormat="1" ht="12.75">
      <c r="A100" s="18"/>
      <c r="B100" s="24" t="s">
        <v>147</v>
      </c>
      <c r="C100" s="77"/>
      <c r="D100" s="72" t="s">
        <v>140</v>
      </c>
      <c r="E100" s="73" t="s">
        <v>140</v>
      </c>
      <c r="F100" s="77"/>
      <c r="G100" s="72" t="s">
        <v>140</v>
      </c>
      <c r="H100" s="72" t="s">
        <v>140</v>
      </c>
      <c r="I100" s="77"/>
      <c r="J100" s="72" t="s">
        <v>140</v>
      </c>
      <c r="K100" s="72" t="s">
        <v>140</v>
      </c>
      <c r="L100" s="77"/>
      <c r="M100" s="72" t="s">
        <v>140</v>
      </c>
      <c r="N100" s="72" t="s">
        <v>140</v>
      </c>
      <c r="O100" s="77"/>
      <c r="P100" s="72" t="s">
        <v>140</v>
      </c>
      <c r="Q100" s="72" t="s">
        <v>140</v>
      </c>
      <c r="R100" s="22"/>
      <c r="S100" s="77"/>
      <c r="T100" s="72" t="s">
        <v>140</v>
      </c>
      <c r="U100" s="72" t="s">
        <v>140</v>
      </c>
      <c r="V100" s="77"/>
      <c r="W100" s="72" t="s">
        <v>140</v>
      </c>
      <c r="X100" s="72" t="s">
        <v>140</v>
      </c>
      <c r="Y100" s="77"/>
      <c r="Z100" s="72" t="s">
        <v>140</v>
      </c>
      <c r="AA100" s="72" t="s">
        <v>140</v>
      </c>
      <c r="AB100" s="22"/>
    </row>
    <row r="101" spans="1:28" s="7" customFormat="1" ht="25.5">
      <c r="A101" s="18" t="s">
        <v>151</v>
      </c>
      <c r="B101" s="71" t="s">
        <v>152</v>
      </c>
      <c r="C101" s="77"/>
      <c r="D101" s="72" t="s">
        <v>140</v>
      </c>
      <c r="E101" s="73" t="s">
        <v>140</v>
      </c>
      <c r="F101" s="77"/>
      <c r="G101" s="72" t="s">
        <v>140</v>
      </c>
      <c r="H101" s="72" t="s">
        <v>140</v>
      </c>
      <c r="I101" s="77"/>
      <c r="J101" s="72" t="s">
        <v>140</v>
      </c>
      <c r="K101" s="72" t="s">
        <v>140</v>
      </c>
      <c r="L101" s="77"/>
      <c r="M101" s="72" t="s">
        <v>140</v>
      </c>
      <c r="N101" s="72" t="s">
        <v>140</v>
      </c>
      <c r="O101" s="77"/>
      <c r="P101" s="72" t="s">
        <v>140</v>
      </c>
      <c r="Q101" s="72" t="s">
        <v>140</v>
      </c>
      <c r="R101" s="22"/>
      <c r="S101" s="77"/>
      <c r="T101" s="72" t="s">
        <v>140</v>
      </c>
      <c r="U101" s="72" t="s">
        <v>140</v>
      </c>
      <c r="V101" s="77"/>
      <c r="W101" s="72" t="s">
        <v>140</v>
      </c>
      <c r="X101" s="72" t="s">
        <v>140</v>
      </c>
      <c r="Y101" s="77"/>
      <c r="Z101" s="72" t="s">
        <v>140</v>
      </c>
      <c r="AA101" s="72" t="s">
        <v>140</v>
      </c>
      <c r="AB101" s="22"/>
    </row>
    <row r="102" spans="1:28" s="7" customFormat="1" ht="12.75">
      <c r="A102" s="18"/>
      <c r="B102" s="24" t="s">
        <v>26</v>
      </c>
      <c r="C102" s="77"/>
      <c r="D102" s="72"/>
      <c r="E102" s="73"/>
      <c r="F102" s="77"/>
      <c r="G102" s="72"/>
      <c r="H102" s="72"/>
      <c r="I102" s="77"/>
      <c r="J102" s="72"/>
      <c r="K102" s="72"/>
      <c r="L102" s="77"/>
      <c r="M102" s="72"/>
      <c r="N102" s="72"/>
      <c r="O102" s="77"/>
      <c r="P102" s="72"/>
      <c r="Q102" s="72"/>
      <c r="R102" s="22"/>
      <c r="S102" s="77"/>
      <c r="T102" s="72"/>
      <c r="U102" s="72"/>
      <c r="V102" s="77"/>
      <c r="W102" s="72"/>
      <c r="X102" s="72"/>
      <c r="Y102" s="77"/>
      <c r="Z102" s="72"/>
      <c r="AA102" s="72"/>
      <c r="AB102" s="22"/>
    </row>
    <row r="103" spans="1:28" s="7" customFormat="1" ht="51">
      <c r="A103" s="18"/>
      <c r="B103" s="78" t="s">
        <v>153</v>
      </c>
      <c r="C103" s="77"/>
      <c r="D103" s="72" t="s">
        <v>140</v>
      </c>
      <c r="E103" s="73" t="s">
        <v>140</v>
      </c>
      <c r="F103" s="77"/>
      <c r="G103" s="72" t="s">
        <v>140</v>
      </c>
      <c r="H103" s="72" t="s">
        <v>140</v>
      </c>
      <c r="I103" s="77"/>
      <c r="J103" s="72" t="s">
        <v>140</v>
      </c>
      <c r="K103" s="72" t="s">
        <v>140</v>
      </c>
      <c r="L103" s="77"/>
      <c r="M103" s="72" t="s">
        <v>140</v>
      </c>
      <c r="N103" s="72" t="s">
        <v>140</v>
      </c>
      <c r="O103" s="77"/>
      <c r="P103" s="72" t="s">
        <v>140</v>
      </c>
      <c r="Q103" s="72" t="s">
        <v>140</v>
      </c>
      <c r="R103" s="22"/>
      <c r="S103" s="77"/>
      <c r="T103" s="72" t="s">
        <v>140</v>
      </c>
      <c r="U103" s="72" t="s">
        <v>140</v>
      </c>
      <c r="V103" s="77"/>
      <c r="W103" s="72" t="s">
        <v>140</v>
      </c>
      <c r="X103" s="72" t="s">
        <v>140</v>
      </c>
      <c r="Y103" s="77"/>
      <c r="Z103" s="72" t="s">
        <v>140</v>
      </c>
      <c r="AA103" s="72" t="s">
        <v>140</v>
      </c>
      <c r="AB103" s="22"/>
    </row>
    <row r="104" spans="1:28" s="7" customFormat="1" ht="25.5">
      <c r="A104" s="18"/>
      <c r="B104" s="79" t="s">
        <v>154</v>
      </c>
      <c r="C104" s="77"/>
      <c r="D104" s="72" t="s">
        <v>140</v>
      </c>
      <c r="E104" s="73" t="s">
        <v>140</v>
      </c>
      <c r="F104" s="77"/>
      <c r="G104" s="72" t="s">
        <v>140</v>
      </c>
      <c r="H104" s="72" t="s">
        <v>140</v>
      </c>
      <c r="I104" s="77"/>
      <c r="J104" s="72" t="s">
        <v>140</v>
      </c>
      <c r="K104" s="72" t="s">
        <v>140</v>
      </c>
      <c r="L104" s="77"/>
      <c r="M104" s="72" t="s">
        <v>140</v>
      </c>
      <c r="N104" s="72" t="s">
        <v>140</v>
      </c>
      <c r="O104" s="77"/>
      <c r="P104" s="72" t="s">
        <v>140</v>
      </c>
      <c r="Q104" s="72" t="s">
        <v>140</v>
      </c>
      <c r="R104" s="22"/>
      <c r="S104" s="77"/>
      <c r="T104" s="72" t="s">
        <v>140</v>
      </c>
      <c r="U104" s="72" t="s">
        <v>140</v>
      </c>
      <c r="V104" s="77"/>
      <c r="W104" s="72" t="s">
        <v>140</v>
      </c>
      <c r="X104" s="72" t="s">
        <v>140</v>
      </c>
      <c r="Y104" s="77"/>
      <c r="Z104" s="72" t="s">
        <v>140</v>
      </c>
      <c r="AA104" s="72" t="s">
        <v>140</v>
      </c>
      <c r="AB104" s="22"/>
    </row>
    <row r="105" spans="1:28" s="7" customFormat="1" ht="25.5">
      <c r="A105" s="18"/>
      <c r="B105" s="31" t="s">
        <v>155</v>
      </c>
      <c r="C105" s="77"/>
      <c r="D105" s="80" t="s">
        <v>140</v>
      </c>
      <c r="E105" s="73" t="s">
        <v>140</v>
      </c>
      <c r="F105" s="81"/>
      <c r="G105" s="72" t="s">
        <v>140</v>
      </c>
      <c r="H105" s="72" t="s">
        <v>140</v>
      </c>
      <c r="I105" s="77"/>
      <c r="J105" s="72" t="s">
        <v>140</v>
      </c>
      <c r="K105" s="72" t="s">
        <v>140</v>
      </c>
      <c r="L105" s="82"/>
      <c r="M105" s="72" t="s">
        <v>140</v>
      </c>
      <c r="N105" s="72" t="s">
        <v>140</v>
      </c>
      <c r="O105" s="82"/>
      <c r="P105" s="72" t="s">
        <v>140</v>
      </c>
      <c r="Q105" s="72" t="s">
        <v>140</v>
      </c>
      <c r="R105" s="22"/>
      <c r="S105" s="82"/>
      <c r="T105" s="72" t="s">
        <v>140</v>
      </c>
      <c r="U105" s="72" t="s">
        <v>140</v>
      </c>
      <c r="V105" s="82"/>
      <c r="W105" s="72" t="s">
        <v>140</v>
      </c>
      <c r="X105" s="72" t="s">
        <v>140</v>
      </c>
      <c r="Y105" s="82"/>
      <c r="Z105" s="72" t="s">
        <v>140</v>
      </c>
      <c r="AA105" s="72" t="s">
        <v>140</v>
      </c>
      <c r="AB105" s="22"/>
    </row>
    <row r="106" spans="1:28" ht="25.5">
      <c r="A106" s="83" t="s">
        <v>156</v>
      </c>
      <c r="B106" s="79" t="s">
        <v>157</v>
      </c>
      <c r="C106" s="80">
        <f>C107+C108</f>
        <v>7480.4048000000003</v>
      </c>
      <c r="D106" s="80" t="s">
        <v>140</v>
      </c>
      <c r="E106" s="84" t="s">
        <v>140</v>
      </c>
      <c r="F106" s="80">
        <f>F107+F108</f>
        <v>3487.0109899999998</v>
      </c>
      <c r="G106" s="80" t="s">
        <v>140</v>
      </c>
      <c r="H106" s="80" t="s">
        <v>140</v>
      </c>
      <c r="I106" s="85">
        <f>I107+I108</f>
        <v>4436.9829600000003</v>
      </c>
      <c r="J106" s="80" t="s">
        <v>140</v>
      </c>
      <c r="K106" s="72" t="s">
        <v>140</v>
      </c>
      <c r="L106" s="72" t="s">
        <v>140</v>
      </c>
      <c r="M106" s="72" t="s">
        <v>140</v>
      </c>
      <c r="N106" s="80" t="s">
        <v>140</v>
      </c>
      <c r="O106" s="80" t="s">
        <v>140</v>
      </c>
      <c r="P106" s="80" t="s">
        <v>140</v>
      </c>
      <c r="Q106" s="80" t="s">
        <v>140</v>
      </c>
      <c r="R106" s="22"/>
      <c r="S106" s="80">
        <f>S107+S108</f>
        <v>3222.7925700000001</v>
      </c>
      <c r="T106" s="80" t="s">
        <v>140</v>
      </c>
      <c r="U106" s="80" t="s">
        <v>140</v>
      </c>
      <c r="V106" s="80">
        <f>V107+V108</f>
        <v>0</v>
      </c>
      <c r="W106" s="72" t="s">
        <v>140</v>
      </c>
      <c r="X106" s="72" t="s">
        <v>140</v>
      </c>
      <c r="Y106" s="80">
        <f>Y107+Y108</f>
        <v>0</v>
      </c>
      <c r="Z106" s="72" t="s">
        <v>140</v>
      </c>
      <c r="AA106" s="72" t="s">
        <v>140</v>
      </c>
      <c r="AB106" s="22"/>
    </row>
    <row r="107" spans="1:28" ht="12.75">
      <c r="A107" s="23"/>
      <c r="B107" s="24" t="s">
        <v>158</v>
      </c>
      <c r="C107" s="86"/>
      <c r="D107" s="72" t="s">
        <v>140</v>
      </c>
      <c r="E107" s="73" t="s">
        <v>140</v>
      </c>
      <c r="F107" s="86">
        <v>4.8103600000000002</v>
      </c>
      <c r="G107" s="72" t="s">
        <v>140</v>
      </c>
      <c r="H107" s="72" t="s">
        <v>140</v>
      </c>
      <c r="I107" s="76">
        <v>4.5100100000000003</v>
      </c>
      <c r="J107" s="72" t="s">
        <v>140</v>
      </c>
      <c r="K107" s="72" t="s">
        <v>140</v>
      </c>
      <c r="L107" s="72" t="s">
        <v>140</v>
      </c>
      <c r="M107" s="72" t="s">
        <v>140</v>
      </c>
      <c r="N107" s="80" t="s">
        <v>140</v>
      </c>
      <c r="O107" s="80" t="s">
        <v>140</v>
      </c>
      <c r="P107" s="80" t="s">
        <v>140</v>
      </c>
      <c r="Q107" s="80" t="s">
        <v>140</v>
      </c>
      <c r="R107" s="22"/>
      <c r="S107" s="87">
        <v>198.95087000000001</v>
      </c>
      <c r="T107" s="80" t="s">
        <v>140</v>
      </c>
      <c r="U107" s="80" t="s">
        <v>140</v>
      </c>
      <c r="V107" s="87"/>
      <c r="W107" s="72" t="s">
        <v>140</v>
      </c>
      <c r="X107" s="72" t="s">
        <v>140</v>
      </c>
      <c r="Y107" s="87">
        <v>0</v>
      </c>
      <c r="Z107" s="72" t="s">
        <v>140</v>
      </c>
      <c r="AA107" s="72" t="s">
        <v>140</v>
      </c>
      <c r="AB107" s="22"/>
    </row>
    <row r="108" spans="1:28" s="89" customFormat="1" ht="12.75">
      <c r="A108" s="88"/>
      <c r="B108" s="24" t="s">
        <v>159</v>
      </c>
      <c r="C108" s="77">
        <v>7480.4048000000003</v>
      </c>
      <c r="D108" s="72" t="s">
        <v>140</v>
      </c>
      <c r="E108" s="73" t="s">
        <v>140</v>
      </c>
      <c r="F108" s="77">
        <v>3482.2006299999998</v>
      </c>
      <c r="G108" s="72" t="s">
        <v>140</v>
      </c>
      <c r="H108" s="72" t="s">
        <v>140</v>
      </c>
      <c r="I108" s="77">
        <v>4432.4729500000003</v>
      </c>
      <c r="J108" s="72" t="s">
        <v>140</v>
      </c>
      <c r="K108" s="72" t="s">
        <v>140</v>
      </c>
      <c r="L108" s="72" t="s">
        <v>140</v>
      </c>
      <c r="M108" s="72" t="s">
        <v>140</v>
      </c>
      <c r="N108" s="72" t="s">
        <v>140</v>
      </c>
      <c r="O108" s="72" t="s">
        <v>140</v>
      </c>
      <c r="P108" s="80" t="s">
        <v>140</v>
      </c>
      <c r="Q108" s="80" t="s">
        <v>140</v>
      </c>
      <c r="R108" s="22"/>
      <c r="S108" s="82">
        <v>3023.8416999999999</v>
      </c>
      <c r="T108" s="80" t="s">
        <v>140</v>
      </c>
      <c r="U108" s="80" t="s">
        <v>140</v>
      </c>
      <c r="V108" s="82"/>
      <c r="W108" s="72" t="s">
        <v>140</v>
      </c>
      <c r="X108" s="72" t="s">
        <v>140</v>
      </c>
      <c r="Y108" s="82">
        <v>0</v>
      </c>
      <c r="Z108" s="72" t="s">
        <v>140</v>
      </c>
      <c r="AA108" s="72" t="s">
        <v>140</v>
      </c>
      <c r="AB108" s="22"/>
    </row>
    <row r="109" spans="1:28" s="96" customFormat="1" ht="23.25">
      <c r="A109" s="90"/>
      <c r="B109" s="91" t="s">
        <v>160</v>
      </c>
      <c r="C109" s="92">
        <f>C89-(C47+C91)</f>
        <v>0</v>
      </c>
      <c r="D109" s="93" t="s">
        <v>140</v>
      </c>
      <c r="E109" s="94" t="s">
        <v>140</v>
      </c>
      <c r="F109" s="92">
        <f>F89-(F47+F91)</f>
        <v>0</v>
      </c>
      <c r="G109" s="93" t="s">
        <v>140</v>
      </c>
      <c r="H109" s="94" t="s">
        <v>140</v>
      </c>
      <c r="I109" s="92">
        <f>I89-(I47+I91)</f>
        <v>0</v>
      </c>
      <c r="J109" s="93" t="s">
        <v>140</v>
      </c>
      <c r="K109" s="94" t="s">
        <v>140</v>
      </c>
      <c r="L109" s="92">
        <f>L89-(L47+L91)</f>
        <v>0</v>
      </c>
      <c r="M109" s="93" t="s">
        <v>140</v>
      </c>
      <c r="N109" s="94" t="s">
        <v>140</v>
      </c>
      <c r="O109" s="92">
        <f>O89-(O47+O91)</f>
        <v>0</v>
      </c>
      <c r="P109" s="93" t="s">
        <v>140</v>
      </c>
      <c r="Q109" s="94" t="s">
        <v>140</v>
      </c>
      <c r="R109" s="95"/>
      <c r="S109" s="92">
        <f>S89-(S47+S91)</f>
        <v>0</v>
      </c>
      <c r="T109" s="93" t="s">
        <v>140</v>
      </c>
      <c r="U109" s="94" t="s">
        <v>140</v>
      </c>
      <c r="V109" s="92">
        <f>V89-(V47+V91)</f>
        <v>0</v>
      </c>
      <c r="W109" s="93" t="s">
        <v>140</v>
      </c>
      <c r="X109" s="94" t="s">
        <v>140</v>
      </c>
      <c r="Y109" s="92">
        <f>Y89-(Y47+Y91)</f>
        <v>0</v>
      </c>
      <c r="Z109" s="93" t="s">
        <v>140</v>
      </c>
      <c r="AA109" s="94" t="s">
        <v>140</v>
      </c>
      <c r="AB109" s="22"/>
    </row>
    <row r="110" spans="1:28" s="7" customFormat="1" ht="25.5">
      <c r="A110" s="83" t="s">
        <v>161</v>
      </c>
      <c r="B110" s="71" t="s">
        <v>162</v>
      </c>
      <c r="C110" s="82"/>
      <c r="D110" s="77"/>
      <c r="E110" s="97"/>
      <c r="F110" s="77"/>
      <c r="G110" s="77"/>
      <c r="H110" s="77"/>
      <c r="I110" s="77"/>
      <c r="J110" s="77"/>
      <c r="K110" s="77"/>
      <c r="L110" s="72" t="s">
        <v>140</v>
      </c>
      <c r="M110" s="72" t="s">
        <v>140</v>
      </c>
      <c r="N110" s="72" t="s">
        <v>140</v>
      </c>
      <c r="O110" s="72" t="s">
        <v>140</v>
      </c>
      <c r="P110" s="72" t="s">
        <v>140</v>
      </c>
      <c r="Q110" s="72" t="s">
        <v>140</v>
      </c>
      <c r="R110" s="98" t="s">
        <v>140</v>
      </c>
      <c r="S110" s="82"/>
      <c r="T110" s="82"/>
      <c r="U110" s="82"/>
      <c r="V110" s="82"/>
      <c r="W110" s="82"/>
      <c r="X110" s="82"/>
      <c r="Y110" s="82"/>
      <c r="Z110" s="82"/>
      <c r="AA110" s="82"/>
      <c r="AB110" s="22" t="e">
        <f t="shared" ref="AB110:AB126" si="25">AA110/E110</f>
        <v>#DIV/0!</v>
      </c>
    </row>
    <row r="111" spans="1:28" s="103" customFormat="1" ht="15.75">
      <c r="A111" s="83" t="s">
        <v>163</v>
      </c>
      <c r="B111" s="99" t="s">
        <v>164</v>
      </c>
      <c r="C111" s="100">
        <f>SUM(C112:C125)</f>
        <v>57817.820930000009</v>
      </c>
      <c r="D111" s="100">
        <f>SUM(D112:D125)</f>
        <v>2002.5655900000002</v>
      </c>
      <c r="E111" s="101">
        <f>C111-D111</f>
        <v>55815.255340000011</v>
      </c>
      <c r="F111" s="100">
        <f>SUM(F112:F125)</f>
        <v>47187.760519999996</v>
      </c>
      <c r="G111" s="100">
        <f>SUM(G112:G125)</f>
        <v>188.30587</v>
      </c>
      <c r="H111" s="101">
        <f>F111-G111</f>
        <v>46999.45465</v>
      </c>
      <c r="I111" s="100">
        <f>SUM(I112:I125)</f>
        <v>3979.0051699999985</v>
      </c>
      <c r="J111" s="100">
        <f>SUM(J112:J125)</f>
        <v>1151.8595399999999</v>
      </c>
      <c r="K111" s="101">
        <f>I111-J111</f>
        <v>2827.1456299999986</v>
      </c>
      <c r="L111" s="100">
        <f>SUM(L112:L125)</f>
        <v>59057.430099999998</v>
      </c>
      <c r="M111" s="100">
        <f>SUM(M112:M125)</f>
        <v>428.99299999999999</v>
      </c>
      <c r="N111" s="101">
        <f>L111-M111</f>
        <v>58628.437099999996</v>
      </c>
      <c r="O111" s="100">
        <f>SUM(O112:O125)</f>
        <v>81701.000150000007</v>
      </c>
      <c r="P111" s="100">
        <f>SUM(P112:P125)</f>
        <v>10587.075350000001</v>
      </c>
      <c r="Q111" s="101">
        <f>O111-P111</f>
        <v>71113.924800000008</v>
      </c>
      <c r="R111" s="22">
        <f t="shared" ref="R111:R126" si="26">Q111/E111</f>
        <v>1.2740947679412693</v>
      </c>
      <c r="S111" s="102">
        <f>SUM(S112:S125)</f>
        <v>52043.404909999997</v>
      </c>
      <c r="T111" s="102">
        <f>SUM(T112:T125)</f>
        <v>582.63416000000007</v>
      </c>
      <c r="U111" s="101">
        <f>S111-T111</f>
        <v>51460.770749999996</v>
      </c>
      <c r="V111" s="102">
        <f>SUM(V112:V125)</f>
        <v>16530</v>
      </c>
      <c r="W111" s="102">
        <f>SUM(W112:W125)</f>
        <v>8412</v>
      </c>
      <c r="X111" s="101">
        <f>V111-W111</f>
        <v>8118</v>
      </c>
      <c r="Y111" s="102">
        <f>SUM(Y112:Y125)</f>
        <v>78200.968000000008</v>
      </c>
      <c r="Z111" s="100">
        <f>SUM(Z112:Z125)</f>
        <v>10587.075350000001</v>
      </c>
      <c r="AA111" s="101">
        <f>Y111-Z111</f>
        <v>67613.892650000009</v>
      </c>
      <c r="AB111" s="22">
        <f t="shared" si="25"/>
        <v>1.2113873212283686</v>
      </c>
    </row>
    <row r="112" spans="1:28" s="110" customFormat="1" ht="15">
      <c r="A112" s="104"/>
      <c r="B112" s="105" t="s">
        <v>165</v>
      </c>
      <c r="C112" s="106">
        <v>30698.361400000002</v>
      </c>
      <c r="D112" s="106">
        <v>4</v>
      </c>
      <c r="E112" s="101">
        <f>C112-D112</f>
        <v>30694.361400000002</v>
      </c>
      <c r="F112" s="107">
        <v>25793.693960000001</v>
      </c>
      <c r="G112" s="107"/>
      <c r="H112" s="101">
        <f>F112-G112</f>
        <v>25793.693960000001</v>
      </c>
      <c r="I112" s="107">
        <f>28182.86968-F112</f>
        <v>2389.1757199999993</v>
      </c>
      <c r="J112" s="107"/>
      <c r="K112" s="101">
        <f>I112-J112</f>
        <v>2389.1757199999993</v>
      </c>
      <c r="L112" s="107">
        <f>31500.1308-885.0728+294.1+8</f>
        <v>30917.157999999996</v>
      </c>
      <c r="M112" s="107">
        <v>4</v>
      </c>
      <c r="N112" s="101">
        <f>L112-M112</f>
        <v>30913.157999999996</v>
      </c>
      <c r="O112" s="108">
        <v>34067.330800000003</v>
      </c>
      <c r="P112" s="108">
        <v>4</v>
      </c>
      <c r="Q112" s="101">
        <f>O112-P112</f>
        <v>34063.330800000003</v>
      </c>
      <c r="R112" s="22">
        <f t="shared" si="26"/>
        <v>1.1097585760490851</v>
      </c>
      <c r="S112" s="109">
        <v>27042.503290000001</v>
      </c>
      <c r="T112" s="109"/>
      <c r="U112" s="101">
        <f>S112-T112</f>
        <v>27042.503290000001</v>
      </c>
      <c r="V112" s="109">
        <v>1670</v>
      </c>
      <c r="W112" s="109"/>
      <c r="X112" s="101">
        <f>V112-W112</f>
        <v>1670</v>
      </c>
      <c r="Y112" s="109">
        <v>33067</v>
      </c>
      <c r="Z112" s="109">
        <f>P112</f>
        <v>4</v>
      </c>
      <c r="AA112" s="101">
        <f>Y112-Z112</f>
        <v>33063</v>
      </c>
      <c r="AB112" s="22">
        <f t="shared" si="25"/>
        <v>1.0771685251611065</v>
      </c>
    </row>
    <row r="113" spans="1:28" s="34" customFormat="1" ht="15">
      <c r="A113" s="104"/>
      <c r="B113" s="111" t="s">
        <v>166</v>
      </c>
      <c r="C113" s="106">
        <v>169.1</v>
      </c>
      <c r="D113" s="106">
        <f>C113</f>
        <v>169.1</v>
      </c>
      <c r="E113" s="101">
        <f t="shared" ref="E113:E125" si="27">C113-D113</f>
        <v>0</v>
      </c>
      <c r="F113" s="112">
        <v>118.96759</v>
      </c>
      <c r="G113" s="112">
        <f>F113</f>
        <v>118.96759</v>
      </c>
      <c r="H113" s="101">
        <f t="shared" ref="H113:H125" si="28">F113-G113</f>
        <v>0</v>
      </c>
      <c r="I113" s="112">
        <f>133.46794-F113</f>
        <v>14.500349999999997</v>
      </c>
      <c r="J113" s="112">
        <f>I113</f>
        <v>14.500349999999997</v>
      </c>
      <c r="K113" s="101">
        <f t="shared" ref="K113:K125" si="29">I113-J113</f>
        <v>0</v>
      </c>
      <c r="L113" s="112">
        <v>167.5</v>
      </c>
      <c r="M113" s="112">
        <f>L113</f>
        <v>167.5</v>
      </c>
      <c r="N113" s="101">
        <f t="shared" ref="N113:N125" si="30">L113-M113</f>
        <v>0</v>
      </c>
      <c r="O113" s="113">
        <v>170.5</v>
      </c>
      <c r="P113" s="113">
        <f>O113</f>
        <v>170.5</v>
      </c>
      <c r="Q113" s="101">
        <f t="shared" ref="Q113:Q125" si="31">O113-P113</f>
        <v>0</v>
      </c>
      <c r="R113" s="22" t="e">
        <f t="shared" si="26"/>
        <v>#DIV/0!</v>
      </c>
      <c r="S113" s="86">
        <v>106.29626</v>
      </c>
      <c r="T113" s="86">
        <f>S113</f>
        <v>106.29626</v>
      </c>
      <c r="U113" s="101">
        <f t="shared" ref="U113:U125" si="32">S113-T113</f>
        <v>0</v>
      </c>
      <c r="V113" s="86">
        <v>10</v>
      </c>
      <c r="W113" s="86">
        <f>V113</f>
        <v>10</v>
      </c>
      <c r="X113" s="101">
        <f t="shared" ref="X113:X125" si="33">V113-W113</f>
        <v>0</v>
      </c>
      <c r="Y113" s="109">
        <f t="shared" ref="Y113:Y125" si="34">O113</f>
        <v>170.5</v>
      </c>
      <c r="Z113" s="86">
        <f>P113</f>
        <v>170.5</v>
      </c>
      <c r="AA113" s="101">
        <f t="shared" ref="AA113:AA125" si="35">Y113-Z113</f>
        <v>0</v>
      </c>
      <c r="AB113" s="22" t="e">
        <f t="shared" si="25"/>
        <v>#DIV/0!</v>
      </c>
    </row>
    <row r="114" spans="1:28" s="34" customFormat="1" ht="15">
      <c r="A114" s="104"/>
      <c r="B114" s="111" t="s">
        <v>167</v>
      </c>
      <c r="C114" s="114">
        <v>424.38664999999997</v>
      </c>
      <c r="D114" s="86"/>
      <c r="E114" s="101">
        <f t="shared" si="27"/>
        <v>424.38664999999997</v>
      </c>
      <c r="F114" s="112">
        <v>424.4</v>
      </c>
      <c r="G114" s="112"/>
      <c r="H114" s="101">
        <f t="shared" si="28"/>
        <v>424.4</v>
      </c>
      <c r="I114" s="112">
        <f>424.4-F114</f>
        <v>0</v>
      </c>
      <c r="J114" s="112"/>
      <c r="K114" s="101">
        <f t="shared" si="29"/>
        <v>0</v>
      </c>
      <c r="L114" s="112">
        <v>999.95699999999999</v>
      </c>
      <c r="M114" s="112"/>
      <c r="N114" s="101">
        <f t="shared" si="30"/>
        <v>999.95699999999999</v>
      </c>
      <c r="O114" s="113">
        <v>457.00700000000001</v>
      </c>
      <c r="P114" s="113"/>
      <c r="Q114" s="101">
        <f t="shared" si="31"/>
        <v>457.00700000000001</v>
      </c>
      <c r="R114" s="22">
        <f t="shared" si="26"/>
        <v>1.0768646940237163</v>
      </c>
      <c r="S114" s="86">
        <v>457.00700000000001</v>
      </c>
      <c r="T114" s="86"/>
      <c r="U114" s="101">
        <f t="shared" si="32"/>
        <v>457.00700000000001</v>
      </c>
      <c r="V114" s="86"/>
      <c r="W114" s="86"/>
      <c r="X114" s="101">
        <f t="shared" si="33"/>
        <v>0</v>
      </c>
      <c r="Y114" s="109">
        <f t="shared" si="34"/>
        <v>457.00700000000001</v>
      </c>
      <c r="Z114" s="86"/>
      <c r="AA114" s="101">
        <f t="shared" si="35"/>
        <v>457.00700000000001</v>
      </c>
      <c r="AB114" s="22">
        <f t="shared" si="25"/>
        <v>1.0768646940237163</v>
      </c>
    </row>
    <row r="115" spans="1:28" s="34" customFormat="1" ht="15">
      <c r="A115" s="104"/>
      <c r="B115" s="111" t="s">
        <v>168</v>
      </c>
      <c r="C115" s="113">
        <v>9946.8035199999995</v>
      </c>
      <c r="D115" s="113">
        <v>215.39356000000001</v>
      </c>
      <c r="E115" s="101">
        <f t="shared" si="27"/>
        <v>9731.409959999999</v>
      </c>
      <c r="F115" s="112">
        <v>9157.1251699999993</v>
      </c>
      <c r="G115" s="112">
        <v>69.338279999999997</v>
      </c>
      <c r="H115" s="101">
        <f>F115-G115</f>
        <v>9087.7868899999994</v>
      </c>
      <c r="I115" s="112">
        <f>9319.74917-F115</f>
        <v>162.6239999999998</v>
      </c>
      <c r="J115" s="112">
        <f>175.8574-G115</f>
        <v>106.51912000000002</v>
      </c>
      <c r="K115" s="101">
        <f t="shared" si="29"/>
        <v>56.104879999999781</v>
      </c>
      <c r="L115" s="112">
        <f>8373.808-174.63802</f>
        <v>8199.1699800000006</v>
      </c>
      <c r="M115" s="112">
        <v>257.49299999999999</v>
      </c>
      <c r="N115" s="101">
        <f t="shared" si="30"/>
        <v>7941.6769800000002</v>
      </c>
      <c r="O115" s="113">
        <v>17701.697</v>
      </c>
      <c r="P115" s="113">
        <v>8615.9369000000006</v>
      </c>
      <c r="Q115" s="101">
        <f t="shared" si="31"/>
        <v>9085.7600999999995</v>
      </c>
      <c r="R115" s="22">
        <f t="shared" si="26"/>
        <v>0.93365299965227244</v>
      </c>
      <c r="S115" s="86">
        <v>13349.348190000001</v>
      </c>
      <c r="T115" s="86">
        <v>129.55709999999999</v>
      </c>
      <c r="U115" s="101">
        <f t="shared" si="32"/>
        <v>13219.791090000001</v>
      </c>
      <c r="V115" s="86">
        <v>3400</v>
      </c>
      <c r="W115" s="86">
        <v>8402</v>
      </c>
      <c r="X115" s="101">
        <f t="shared" si="33"/>
        <v>-5002</v>
      </c>
      <c r="Y115" s="109">
        <f t="shared" si="34"/>
        <v>17701.697</v>
      </c>
      <c r="Z115" s="86">
        <f>P115</f>
        <v>8615.9369000000006</v>
      </c>
      <c r="AA115" s="101">
        <f t="shared" si="35"/>
        <v>9085.7600999999995</v>
      </c>
      <c r="AB115" s="22">
        <f t="shared" si="25"/>
        <v>0.93365299965227244</v>
      </c>
    </row>
    <row r="116" spans="1:28" s="34" customFormat="1" ht="15">
      <c r="A116" s="104"/>
      <c r="B116" s="111" t="s">
        <v>169</v>
      </c>
      <c r="C116" s="113">
        <v>11524.94886</v>
      </c>
      <c r="D116" s="113">
        <v>1614.07203</v>
      </c>
      <c r="E116" s="101">
        <f t="shared" si="27"/>
        <v>9910.8768300000011</v>
      </c>
      <c r="F116" s="112">
        <v>7842.8928999999998</v>
      </c>
      <c r="G116" s="112"/>
      <c r="H116" s="101">
        <f t="shared" si="28"/>
        <v>7842.8928999999998</v>
      </c>
      <c r="I116" s="112">
        <f>8874.008-F116</f>
        <v>1031.1151</v>
      </c>
      <c r="J116" s="112">
        <f>1030.84007-G116</f>
        <v>1030.84007</v>
      </c>
      <c r="K116" s="101">
        <f t="shared" si="29"/>
        <v>0.27503000000001521</v>
      </c>
      <c r="L116" s="112">
        <f>14714.453-3075.80888+1000.001+93</f>
        <v>12731.645119999999</v>
      </c>
      <c r="M116" s="112"/>
      <c r="N116" s="101">
        <f t="shared" si="30"/>
        <v>12731.645119999999</v>
      </c>
      <c r="O116" s="113">
        <v>11529.701349999999</v>
      </c>
      <c r="P116" s="113">
        <v>1796.6384499999999</v>
      </c>
      <c r="Q116" s="101">
        <f t="shared" si="31"/>
        <v>9733.062899999999</v>
      </c>
      <c r="R116" s="22">
        <f t="shared" si="26"/>
        <v>0.98205870852296706</v>
      </c>
      <c r="S116" s="86">
        <v>5148.1864699999996</v>
      </c>
      <c r="T116" s="86">
        <v>346.7808</v>
      </c>
      <c r="U116" s="101">
        <f t="shared" si="32"/>
        <v>4801.4056700000001</v>
      </c>
      <c r="V116" s="86">
        <v>900</v>
      </c>
      <c r="W116" s="86"/>
      <c r="X116" s="101">
        <f t="shared" si="33"/>
        <v>900</v>
      </c>
      <c r="Y116" s="109">
        <v>9030</v>
      </c>
      <c r="Z116" s="86">
        <f>P116</f>
        <v>1796.6384499999999</v>
      </c>
      <c r="AA116" s="101">
        <f t="shared" si="35"/>
        <v>7233.3615499999996</v>
      </c>
      <c r="AB116" s="22">
        <f t="shared" si="25"/>
        <v>0.72984072691780177</v>
      </c>
    </row>
    <row r="117" spans="1:28" s="34" customFormat="1" ht="15">
      <c r="A117" s="104"/>
      <c r="B117" s="111" t="s">
        <v>170</v>
      </c>
      <c r="C117" s="113"/>
      <c r="D117" s="113"/>
      <c r="E117" s="101">
        <f t="shared" si="27"/>
        <v>0</v>
      </c>
      <c r="F117" s="112"/>
      <c r="G117" s="112"/>
      <c r="H117" s="101">
        <f t="shared" si="28"/>
        <v>0</v>
      </c>
      <c r="I117" s="112"/>
      <c r="J117" s="112"/>
      <c r="K117" s="101">
        <f t="shared" si="29"/>
        <v>0</v>
      </c>
      <c r="L117" s="112"/>
      <c r="M117" s="112"/>
      <c r="N117" s="101">
        <f t="shared" si="30"/>
        <v>0</v>
      </c>
      <c r="O117" s="113"/>
      <c r="P117" s="113"/>
      <c r="Q117" s="101">
        <f t="shared" si="31"/>
        <v>0</v>
      </c>
      <c r="R117" s="22" t="e">
        <f t="shared" si="26"/>
        <v>#DIV/0!</v>
      </c>
      <c r="S117" s="86"/>
      <c r="T117" s="86"/>
      <c r="U117" s="101">
        <f t="shared" si="32"/>
        <v>0</v>
      </c>
      <c r="V117" s="86"/>
      <c r="W117" s="86"/>
      <c r="X117" s="101">
        <f t="shared" si="33"/>
        <v>0</v>
      </c>
      <c r="Y117" s="109">
        <f t="shared" si="34"/>
        <v>0</v>
      </c>
      <c r="Z117" s="86"/>
      <c r="AA117" s="101">
        <f t="shared" si="35"/>
        <v>0</v>
      </c>
      <c r="AB117" s="22" t="e">
        <f t="shared" si="25"/>
        <v>#DIV/0!</v>
      </c>
    </row>
    <row r="118" spans="1:28" s="34" customFormat="1" ht="15">
      <c r="A118" s="104"/>
      <c r="B118" s="111" t="s">
        <v>171</v>
      </c>
      <c r="C118" s="113">
        <v>587.22050000000002</v>
      </c>
      <c r="D118" s="113"/>
      <c r="E118" s="101">
        <f t="shared" si="27"/>
        <v>587.22050000000002</v>
      </c>
      <c r="F118" s="112">
        <v>587.22050000000002</v>
      </c>
      <c r="G118" s="112"/>
      <c r="H118" s="101">
        <f t="shared" si="28"/>
        <v>587.22050000000002</v>
      </c>
      <c r="I118" s="112">
        <f>587.2205-F118</f>
        <v>0</v>
      </c>
      <c r="J118" s="112"/>
      <c r="K118" s="101">
        <f t="shared" si="29"/>
        <v>0</v>
      </c>
      <c r="L118" s="112">
        <v>2255</v>
      </c>
      <c r="M118" s="112"/>
      <c r="N118" s="101">
        <f t="shared" si="30"/>
        <v>2255</v>
      </c>
      <c r="O118" s="113">
        <v>3598</v>
      </c>
      <c r="P118" s="113"/>
      <c r="Q118" s="101">
        <f t="shared" si="31"/>
        <v>3598</v>
      </c>
      <c r="R118" s="22">
        <f t="shared" si="26"/>
        <v>6.127170287822036</v>
      </c>
      <c r="S118" s="86">
        <v>2805.0940000000001</v>
      </c>
      <c r="T118" s="86"/>
      <c r="U118" s="101">
        <f t="shared" si="32"/>
        <v>2805.0940000000001</v>
      </c>
      <c r="V118" s="86">
        <v>0</v>
      </c>
      <c r="W118" s="86"/>
      <c r="X118" s="101">
        <f t="shared" si="33"/>
        <v>0</v>
      </c>
      <c r="Y118" s="109">
        <f t="shared" si="34"/>
        <v>3598</v>
      </c>
      <c r="Z118" s="86"/>
      <c r="AA118" s="101">
        <f t="shared" si="35"/>
        <v>3598</v>
      </c>
      <c r="AB118" s="22">
        <f t="shared" si="25"/>
        <v>6.127170287822036</v>
      </c>
    </row>
    <row r="119" spans="1:28" s="34" customFormat="1" ht="15">
      <c r="A119" s="104"/>
      <c r="B119" s="111" t="s">
        <v>172</v>
      </c>
      <c r="C119" s="113">
        <v>3271</v>
      </c>
      <c r="D119" s="113"/>
      <c r="E119" s="101">
        <f t="shared" si="27"/>
        <v>3271</v>
      </c>
      <c r="F119" s="112">
        <v>2324.3604</v>
      </c>
      <c r="G119" s="112"/>
      <c r="H119" s="101">
        <f t="shared" si="28"/>
        <v>2324.3604</v>
      </c>
      <c r="I119" s="112">
        <f>2635.7904-F119</f>
        <v>311.42999999999984</v>
      </c>
      <c r="J119" s="112"/>
      <c r="K119" s="101">
        <f t="shared" si="29"/>
        <v>311.42999999999984</v>
      </c>
      <c r="L119" s="112">
        <v>1700</v>
      </c>
      <c r="M119" s="112"/>
      <c r="N119" s="101">
        <f t="shared" si="30"/>
        <v>1700</v>
      </c>
      <c r="O119" s="113">
        <v>11949.664000000001</v>
      </c>
      <c r="P119" s="113"/>
      <c r="Q119" s="101">
        <f t="shared" si="31"/>
        <v>11949.664000000001</v>
      </c>
      <c r="R119" s="22">
        <f t="shared" si="26"/>
        <v>3.6532143075512078</v>
      </c>
      <c r="S119" s="86">
        <v>1152.43</v>
      </c>
      <c r="T119" s="86"/>
      <c r="U119" s="101">
        <f t="shared" si="32"/>
        <v>1152.43</v>
      </c>
      <c r="V119" s="86">
        <v>10400</v>
      </c>
      <c r="W119" s="86"/>
      <c r="X119" s="101">
        <f t="shared" si="33"/>
        <v>10400</v>
      </c>
      <c r="Y119" s="109">
        <f t="shared" si="34"/>
        <v>11949.664000000001</v>
      </c>
      <c r="Z119" s="86"/>
      <c r="AA119" s="101">
        <f t="shared" si="35"/>
        <v>11949.664000000001</v>
      </c>
      <c r="AB119" s="22">
        <f t="shared" si="25"/>
        <v>3.6532143075512078</v>
      </c>
    </row>
    <row r="120" spans="1:28" s="34" customFormat="1" ht="15">
      <c r="A120" s="104"/>
      <c r="B120" s="111" t="s">
        <v>173</v>
      </c>
      <c r="C120" s="113"/>
      <c r="D120" s="113"/>
      <c r="E120" s="101">
        <f t="shared" si="27"/>
        <v>0</v>
      </c>
      <c r="F120" s="112"/>
      <c r="G120" s="112"/>
      <c r="H120" s="101">
        <f t="shared" si="28"/>
        <v>0</v>
      </c>
      <c r="I120" s="112"/>
      <c r="J120" s="112"/>
      <c r="K120" s="101">
        <f t="shared" si="29"/>
        <v>0</v>
      </c>
      <c r="L120" s="112"/>
      <c r="M120" s="112"/>
      <c r="N120" s="101">
        <f t="shared" si="30"/>
        <v>0</v>
      </c>
      <c r="O120" s="113"/>
      <c r="P120" s="113"/>
      <c r="Q120" s="101">
        <f t="shared" si="31"/>
        <v>0</v>
      </c>
      <c r="R120" s="22" t="e">
        <f t="shared" si="26"/>
        <v>#DIV/0!</v>
      </c>
      <c r="S120" s="86"/>
      <c r="T120" s="86"/>
      <c r="U120" s="101">
        <f t="shared" si="32"/>
        <v>0</v>
      </c>
      <c r="V120" s="86"/>
      <c r="W120" s="86"/>
      <c r="X120" s="101">
        <f t="shared" si="33"/>
        <v>0</v>
      </c>
      <c r="Y120" s="109">
        <f t="shared" si="34"/>
        <v>0</v>
      </c>
      <c r="Z120" s="86"/>
      <c r="AA120" s="101">
        <f t="shared" si="35"/>
        <v>0</v>
      </c>
      <c r="AB120" s="22" t="e">
        <f t="shared" si="25"/>
        <v>#DIV/0!</v>
      </c>
    </row>
    <row r="121" spans="1:28" s="34" customFormat="1" ht="15">
      <c r="A121" s="104"/>
      <c r="B121" s="111" t="s">
        <v>174</v>
      </c>
      <c r="C121" s="113">
        <v>6</v>
      </c>
      <c r="D121" s="113"/>
      <c r="E121" s="101">
        <f t="shared" si="27"/>
        <v>6</v>
      </c>
      <c r="F121" s="112">
        <v>5</v>
      </c>
      <c r="G121" s="112"/>
      <c r="H121" s="101">
        <f t="shared" si="28"/>
        <v>5</v>
      </c>
      <c r="I121" s="112">
        <f>5.5-F121</f>
        <v>0.5</v>
      </c>
      <c r="J121" s="112"/>
      <c r="K121" s="101">
        <f t="shared" si="29"/>
        <v>0.5</v>
      </c>
      <c r="L121" s="112">
        <v>12</v>
      </c>
      <c r="M121" s="112"/>
      <c r="N121" s="101">
        <f t="shared" si="30"/>
        <v>12</v>
      </c>
      <c r="O121" s="113">
        <v>240.1</v>
      </c>
      <c r="P121" s="113"/>
      <c r="Q121" s="101">
        <f t="shared" si="31"/>
        <v>240.1</v>
      </c>
      <c r="R121" s="22">
        <f t="shared" si="26"/>
        <v>40.016666666666666</v>
      </c>
      <c r="S121" s="86">
        <v>199.24969999999999</v>
      </c>
      <c r="T121" s="86"/>
      <c r="U121" s="101">
        <f t="shared" si="32"/>
        <v>199.24969999999999</v>
      </c>
      <c r="V121" s="86">
        <v>30</v>
      </c>
      <c r="W121" s="86"/>
      <c r="X121" s="101">
        <f t="shared" si="33"/>
        <v>30</v>
      </c>
      <c r="Y121" s="109">
        <f t="shared" si="34"/>
        <v>240.1</v>
      </c>
      <c r="Z121" s="86"/>
      <c r="AA121" s="101">
        <f t="shared" si="35"/>
        <v>240.1</v>
      </c>
      <c r="AB121" s="22">
        <f t="shared" si="25"/>
        <v>40.016666666666666</v>
      </c>
    </row>
    <row r="122" spans="1:28" s="34" customFormat="1" ht="15">
      <c r="A122" s="104"/>
      <c r="B122" s="111" t="s">
        <v>175</v>
      </c>
      <c r="C122" s="113">
        <v>297</v>
      </c>
      <c r="D122" s="113"/>
      <c r="E122" s="101">
        <f t="shared" si="27"/>
        <v>297</v>
      </c>
      <c r="F122" s="112">
        <v>197</v>
      </c>
      <c r="G122" s="112"/>
      <c r="H122" s="101">
        <f t="shared" si="28"/>
        <v>197</v>
      </c>
      <c r="I122" s="112">
        <f>197-F122</f>
        <v>0</v>
      </c>
      <c r="J122" s="112"/>
      <c r="K122" s="101">
        <f t="shared" si="29"/>
        <v>0</v>
      </c>
      <c r="L122" s="112">
        <v>1185</v>
      </c>
      <c r="M122" s="112"/>
      <c r="N122" s="101">
        <f t="shared" si="30"/>
        <v>1185</v>
      </c>
      <c r="O122" s="113">
        <v>1097</v>
      </c>
      <c r="P122" s="113"/>
      <c r="Q122" s="101">
        <f t="shared" si="31"/>
        <v>1097</v>
      </c>
      <c r="R122" s="22">
        <f t="shared" si="26"/>
        <v>3.6936026936026938</v>
      </c>
      <c r="S122" s="86">
        <v>1046.29</v>
      </c>
      <c r="T122" s="86"/>
      <c r="U122" s="101">
        <f t="shared" si="32"/>
        <v>1046.29</v>
      </c>
      <c r="V122" s="86">
        <v>50</v>
      </c>
      <c r="W122" s="86"/>
      <c r="X122" s="101">
        <f t="shared" si="33"/>
        <v>50</v>
      </c>
      <c r="Y122" s="109">
        <f t="shared" si="34"/>
        <v>1097</v>
      </c>
      <c r="Z122" s="86"/>
      <c r="AA122" s="101">
        <f t="shared" si="35"/>
        <v>1097</v>
      </c>
      <c r="AB122" s="22">
        <f t="shared" si="25"/>
        <v>3.6936026936026938</v>
      </c>
    </row>
    <row r="123" spans="1:28" s="34" customFormat="1" ht="15">
      <c r="A123" s="104"/>
      <c r="B123" s="111" t="s">
        <v>176</v>
      </c>
      <c r="C123" s="113">
        <v>893</v>
      </c>
      <c r="D123" s="113"/>
      <c r="E123" s="101">
        <f t="shared" si="27"/>
        <v>893</v>
      </c>
      <c r="F123" s="112">
        <v>737.1</v>
      </c>
      <c r="G123" s="112"/>
      <c r="H123" s="101">
        <f t="shared" si="28"/>
        <v>737.1</v>
      </c>
      <c r="I123" s="112">
        <f>806.76-F123</f>
        <v>69.659999999999968</v>
      </c>
      <c r="J123" s="112"/>
      <c r="K123" s="101">
        <f t="shared" si="29"/>
        <v>69.659999999999968</v>
      </c>
      <c r="L123" s="112">
        <v>890</v>
      </c>
      <c r="M123" s="112"/>
      <c r="N123" s="101">
        <f t="shared" si="30"/>
        <v>890</v>
      </c>
      <c r="O123" s="113">
        <v>890</v>
      </c>
      <c r="P123" s="113"/>
      <c r="Q123" s="101">
        <f t="shared" si="31"/>
        <v>890</v>
      </c>
      <c r="R123" s="22">
        <f t="shared" si="26"/>
        <v>0.99664053751399773</v>
      </c>
      <c r="S123" s="86">
        <v>737</v>
      </c>
      <c r="T123" s="86"/>
      <c r="U123" s="101">
        <f t="shared" si="32"/>
        <v>737</v>
      </c>
      <c r="V123" s="86">
        <v>70</v>
      </c>
      <c r="W123" s="86"/>
      <c r="X123" s="101">
        <f t="shared" si="33"/>
        <v>70</v>
      </c>
      <c r="Y123" s="109">
        <f t="shared" si="34"/>
        <v>890</v>
      </c>
      <c r="Z123" s="86"/>
      <c r="AA123" s="101">
        <f t="shared" si="35"/>
        <v>890</v>
      </c>
      <c r="AB123" s="22">
        <f t="shared" si="25"/>
        <v>0.99664053751399773</v>
      </c>
    </row>
    <row r="124" spans="1:28" s="34" customFormat="1" ht="15">
      <c r="A124" s="104"/>
      <c r="B124" s="111" t="s">
        <v>177</v>
      </c>
      <c r="C124" s="113"/>
      <c r="D124" s="113"/>
      <c r="E124" s="101">
        <f t="shared" si="27"/>
        <v>0</v>
      </c>
      <c r="F124" s="112"/>
      <c r="G124" s="112"/>
      <c r="H124" s="101">
        <f t="shared" si="28"/>
        <v>0</v>
      </c>
      <c r="I124" s="112"/>
      <c r="J124" s="112"/>
      <c r="K124" s="101">
        <f t="shared" si="29"/>
        <v>0</v>
      </c>
      <c r="L124" s="112"/>
      <c r="M124" s="112"/>
      <c r="N124" s="101">
        <f t="shared" si="30"/>
        <v>0</v>
      </c>
      <c r="O124" s="113"/>
      <c r="P124" s="113"/>
      <c r="Q124" s="101">
        <f t="shared" si="31"/>
        <v>0</v>
      </c>
      <c r="R124" s="22" t="e">
        <f t="shared" si="26"/>
        <v>#DIV/0!</v>
      </c>
      <c r="S124" s="86"/>
      <c r="T124" s="86"/>
      <c r="U124" s="101">
        <f t="shared" si="32"/>
        <v>0</v>
      </c>
      <c r="V124" s="86"/>
      <c r="W124" s="86"/>
      <c r="X124" s="101">
        <f t="shared" si="33"/>
        <v>0</v>
      </c>
      <c r="Y124" s="109">
        <f t="shared" si="34"/>
        <v>0</v>
      </c>
      <c r="Z124" s="86"/>
      <c r="AA124" s="101">
        <f t="shared" si="35"/>
        <v>0</v>
      </c>
      <c r="AB124" s="22" t="e">
        <f t="shared" si="25"/>
        <v>#DIV/0!</v>
      </c>
    </row>
    <row r="125" spans="1:28" s="34" customFormat="1" ht="15">
      <c r="A125" s="104"/>
      <c r="B125" s="111" t="s">
        <v>178</v>
      </c>
      <c r="C125" s="113"/>
      <c r="D125" s="113"/>
      <c r="E125" s="101">
        <f t="shared" si="27"/>
        <v>0</v>
      </c>
      <c r="F125" s="112"/>
      <c r="G125" s="112"/>
      <c r="H125" s="101">
        <f t="shared" si="28"/>
        <v>0</v>
      </c>
      <c r="I125" s="112"/>
      <c r="J125" s="112"/>
      <c r="K125" s="101">
        <f t="shared" si="29"/>
        <v>0</v>
      </c>
      <c r="L125" s="112"/>
      <c r="M125" s="112"/>
      <c r="N125" s="101">
        <f t="shared" si="30"/>
        <v>0</v>
      </c>
      <c r="O125" s="113"/>
      <c r="P125" s="113"/>
      <c r="Q125" s="101">
        <f t="shared" si="31"/>
        <v>0</v>
      </c>
      <c r="R125" s="22" t="e">
        <f t="shared" si="26"/>
        <v>#DIV/0!</v>
      </c>
      <c r="S125" s="86"/>
      <c r="T125" s="86"/>
      <c r="U125" s="101">
        <f t="shared" si="32"/>
        <v>0</v>
      </c>
      <c r="V125" s="86"/>
      <c r="W125" s="86"/>
      <c r="X125" s="101">
        <f t="shared" si="33"/>
        <v>0</v>
      </c>
      <c r="Y125" s="109">
        <f t="shared" si="34"/>
        <v>0</v>
      </c>
      <c r="Z125" s="86"/>
      <c r="AA125" s="101">
        <f t="shared" si="35"/>
        <v>0</v>
      </c>
      <c r="AB125" s="22" t="e">
        <f t="shared" si="25"/>
        <v>#DIV/0!</v>
      </c>
    </row>
    <row r="126" spans="1:28" s="34" customFormat="1" ht="12.75">
      <c r="A126" s="104"/>
      <c r="B126" s="115" t="s">
        <v>179</v>
      </c>
      <c r="C126" s="116">
        <f>SUM(C112:C125)</f>
        <v>57817.820930000009</v>
      </c>
      <c r="D126" s="116">
        <f t="shared" ref="D126:AA126" si="36">SUM(D112:D125)</f>
        <v>2002.5655900000002</v>
      </c>
      <c r="E126" s="117">
        <f t="shared" si="36"/>
        <v>55815.255340000003</v>
      </c>
      <c r="F126" s="116">
        <f t="shared" si="36"/>
        <v>47187.760519999996</v>
      </c>
      <c r="G126" s="116">
        <f t="shared" si="36"/>
        <v>188.30587</v>
      </c>
      <c r="H126" s="116">
        <f t="shared" si="36"/>
        <v>46999.45465</v>
      </c>
      <c r="I126" s="116">
        <f t="shared" si="36"/>
        <v>3979.0051699999985</v>
      </c>
      <c r="J126" s="116">
        <f t="shared" si="36"/>
        <v>1151.8595399999999</v>
      </c>
      <c r="K126" s="116">
        <f t="shared" si="36"/>
        <v>2827.1456299999986</v>
      </c>
      <c r="L126" s="116">
        <f t="shared" si="36"/>
        <v>59057.430099999998</v>
      </c>
      <c r="M126" s="116">
        <f t="shared" si="36"/>
        <v>428.99299999999999</v>
      </c>
      <c r="N126" s="116">
        <f t="shared" si="36"/>
        <v>58628.437099999996</v>
      </c>
      <c r="O126" s="116">
        <f t="shared" si="36"/>
        <v>81701.000150000007</v>
      </c>
      <c r="P126" s="116">
        <f t="shared" si="36"/>
        <v>10587.075350000001</v>
      </c>
      <c r="Q126" s="116">
        <f t="shared" si="36"/>
        <v>71113.924800000008</v>
      </c>
      <c r="R126" s="22">
        <f t="shared" si="26"/>
        <v>1.2740947679412695</v>
      </c>
      <c r="S126" s="116">
        <f t="shared" si="36"/>
        <v>52043.404909999997</v>
      </c>
      <c r="T126" s="116">
        <f t="shared" si="36"/>
        <v>582.63416000000007</v>
      </c>
      <c r="U126" s="116">
        <f t="shared" si="36"/>
        <v>51460.770750000003</v>
      </c>
      <c r="V126" s="116">
        <f t="shared" si="36"/>
        <v>16530</v>
      </c>
      <c r="W126" s="116">
        <f t="shared" si="36"/>
        <v>8412</v>
      </c>
      <c r="X126" s="116">
        <f t="shared" si="36"/>
        <v>8118</v>
      </c>
      <c r="Y126" s="116">
        <f t="shared" si="36"/>
        <v>78200.968000000008</v>
      </c>
      <c r="Z126" s="116">
        <f t="shared" si="36"/>
        <v>10587.075350000001</v>
      </c>
      <c r="AA126" s="116">
        <f t="shared" si="36"/>
        <v>67613.892650000009</v>
      </c>
      <c r="AB126" s="22">
        <f t="shared" si="25"/>
        <v>1.2113873212283688</v>
      </c>
    </row>
    <row r="127" spans="1:28" s="34" customFormat="1" ht="12.75">
      <c r="A127" s="104"/>
      <c r="B127" s="115" t="s">
        <v>180</v>
      </c>
      <c r="C127" s="118">
        <f>C89-C126</f>
        <v>1.9999992218799889E-5</v>
      </c>
      <c r="D127" s="118">
        <f>D89-D126</f>
        <v>0</v>
      </c>
      <c r="E127" s="118">
        <f t="shared" ref="E127:Q127" si="37">E89-E126</f>
        <v>1.9999999494757503E-5</v>
      </c>
      <c r="F127" s="118">
        <f t="shared" si="37"/>
        <v>0</v>
      </c>
      <c r="G127" s="118">
        <f>G89-G126</f>
        <v>0</v>
      </c>
      <c r="H127" s="118">
        <f t="shared" si="37"/>
        <v>0</v>
      </c>
      <c r="I127" s="118">
        <f t="shared" si="37"/>
        <v>3.637978807091713E-12</v>
      </c>
      <c r="J127" s="118">
        <v>0</v>
      </c>
      <c r="K127" s="118">
        <v>0</v>
      </c>
      <c r="L127" s="116">
        <f t="shared" si="37"/>
        <v>-9.8000000434694812E-4</v>
      </c>
      <c r="M127" s="116">
        <f t="shared" si="37"/>
        <v>0</v>
      </c>
      <c r="N127" s="116">
        <f t="shared" si="37"/>
        <v>-9.8000000434694812E-4</v>
      </c>
      <c r="O127" s="116">
        <f t="shared" si="37"/>
        <v>0</v>
      </c>
      <c r="P127" s="116">
        <f t="shared" si="37"/>
        <v>0</v>
      </c>
      <c r="Q127" s="116">
        <f t="shared" si="37"/>
        <v>0</v>
      </c>
      <c r="R127" s="119"/>
      <c r="S127" s="116">
        <f t="shared" ref="S127:AA127" si="38">S89-S126</f>
        <v>0.20000000000436557</v>
      </c>
      <c r="T127" s="116">
        <f t="shared" si="38"/>
        <v>0</v>
      </c>
      <c r="U127" s="116">
        <f t="shared" si="38"/>
        <v>0.19999999999708962</v>
      </c>
      <c r="V127" s="116">
        <f t="shared" si="38"/>
        <v>0</v>
      </c>
      <c r="W127" s="116">
        <f>W89-W126</f>
        <v>0</v>
      </c>
      <c r="X127" s="116">
        <f t="shared" si="38"/>
        <v>0</v>
      </c>
      <c r="Y127" s="116">
        <f t="shared" si="38"/>
        <v>-0.45710000001417939</v>
      </c>
      <c r="Z127" s="116">
        <f t="shared" si="38"/>
        <v>0</v>
      </c>
      <c r="AA127" s="116">
        <f t="shared" si="38"/>
        <v>-0.45710000001417939</v>
      </c>
      <c r="AB127" s="22"/>
    </row>
    <row r="128" spans="1:28" s="34" customFormat="1" ht="12.75">
      <c r="A128" s="83" t="s">
        <v>181</v>
      </c>
      <c r="B128" s="120" t="s">
        <v>182</v>
      </c>
      <c r="C128" s="121"/>
      <c r="D128" s="122"/>
      <c r="E128" s="123"/>
      <c r="F128" s="123"/>
      <c r="G128" s="122"/>
      <c r="H128" s="122"/>
      <c r="I128" s="124"/>
      <c r="J128" s="122"/>
      <c r="K128" s="122"/>
      <c r="L128" s="125"/>
      <c r="M128" s="125"/>
      <c r="N128" s="125"/>
      <c r="O128" s="125"/>
      <c r="P128" s="125"/>
      <c r="Q128" s="125"/>
      <c r="R128" s="126"/>
      <c r="S128" s="127"/>
      <c r="T128" s="125"/>
      <c r="U128" s="125"/>
      <c r="V128" s="127"/>
      <c r="W128" s="125"/>
      <c r="X128" s="125"/>
      <c r="Y128" s="127"/>
      <c r="Z128" s="125"/>
      <c r="AA128" s="125"/>
      <c r="AB128" s="22"/>
    </row>
    <row r="129" spans="1:28" s="34" customFormat="1" ht="12.75">
      <c r="A129" s="104"/>
      <c r="B129" s="128" t="s">
        <v>183</v>
      </c>
      <c r="C129" s="129"/>
      <c r="D129" s="122" t="s">
        <v>184</v>
      </c>
      <c r="E129" s="123" t="s">
        <v>184</v>
      </c>
      <c r="F129" s="123" t="s">
        <v>184</v>
      </c>
      <c r="G129" s="122" t="s">
        <v>184</v>
      </c>
      <c r="H129" s="122" t="s">
        <v>184</v>
      </c>
      <c r="I129" s="124" t="s">
        <v>184</v>
      </c>
      <c r="J129" s="122" t="s">
        <v>184</v>
      </c>
      <c r="K129" s="122" t="s">
        <v>184</v>
      </c>
      <c r="L129" s="125" t="s">
        <v>184</v>
      </c>
      <c r="M129" s="125" t="s">
        <v>184</v>
      </c>
      <c r="N129" s="125" t="s">
        <v>184</v>
      </c>
      <c r="O129" s="125" t="s">
        <v>184</v>
      </c>
      <c r="P129" s="125" t="s">
        <v>184</v>
      </c>
      <c r="Q129" s="125" t="s">
        <v>184</v>
      </c>
      <c r="R129" s="126" t="s">
        <v>184</v>
      </c>
      <c r="S129" s="127"/>
      <c r="T129" s="125" t="s">
        <v>184</v>
      </c>
      <c r="U129" s="125" t="s">
        <v>184</v>
      </c>
      <c r="V129" s="127"/>
      <c r="W129" s="125" t="s">
        <v>184</v>
      </c>
      <c r="X129" s="125" t="s">
        <v>184</v>
      </c>
      <c r="Y129" s="127"/>
      <c r="Z129" s="125" t="s">
        <v>184</v>
      </c>
      <c r="AA129" s="125" t="s">
        <v>184</v>
      </c>
      <c r="AB129" s="22" t="e">
        <f>Y129/C129</f>
        <v>#DIV/0!</v>
      </c>
    </row>
    <row r="130" spans="1:28" s="34" customFormat="1" ht="12.75">
      <c r="A130" s="104"/>
      <c r="B130" s="128" t="s">
        <v>185</v>
      </c>
      <c r="C130" s="129"/>
      <c r="D130" s="122" t="s">
        <v>184</v>
      </c>
      <c r="E130" s="123" t="s">
        <v>184</v>
      </c>
      <c r="F130" s="123" t="s">
        <v>184</v>
      </c>
      <c r="G130" s="122" t="s">
        <v>184</v>
      </c>
      <c r="H130" s="122" t="s">
        <v>184</v>
      </c>
      <c r="I130" s="124" t="s">
        <v>184</v>
      </c>
      <c r="J130" s="122" t="s">
        <v>184</v>
      </c>
      <c r="K130" s="122" t="s">
        <v>184</v>
      </c>
      <c r="L130" s="125" t="s">
        <v>184</v>
      </c>
      <c r="M130" s="125" t="s">
        <v>184</v>
      </c>
      <c r="N130" s="125" t="s">
        <v>184</v>
      </c>
      <c r="O130" s="125" t="s">
        <v>184</v>
      </c>
      <c r="P130" s="125" t="s">
        <v>184</v>
      </c>
      <c r="Q130" s="125" t="s">
        <v>184</v>
      </c>
      <c r="R130" s="126" t="s">
        <v>184</v>
      </c>
      <c r="S130" s="127"/>
      <c r="T130" s="125" t="s">
        <v>184</v>
      </c>
      <c r="U130" s="125" t="s">
        <v>184</v>
      </c>
      <c r="V130" s="127"/>
      <c r="W130" s="125" t="s">
        <v>184</v>
      </c>
      <c r="X130" s="125" t="s">
        <v>184</v>
      </c>
      <c r="Y130" s="127"/>
      <c r="Z130" s="125" t="s">
        <v>184</v>
      </c>
      <c r="AA130" s="125" t="s">
        <v>184</v>
      </c>
      <c r="AB130" s="22" t="e">
        <f t="shared" ref="AB130:AB141" si="39">Y130/C130</f>
        <v>#DIV/0!</v>
      </c>
    </row>
    <row r="131" spans="1:28" s="34" customFormat="1" ht="12.75">
      <c r="A131" s="104"/>
      <c r="B131" s="128" t="s">
        <v>186</v>
      </c>
      <c r="C131" s="129"/>
      <c r="D131" s="122" t="s">
        <v>184</v>
      </c>
      <c r="E131" s="123" t="s">
        <v>184</v>
      </c>
      <c r="F131" s="123" t="s">
        <v>184</v>
      </c>
      <c r="G131" s="122" t="s">
        <v>184</v>
      </c>
      <c r="H131" s="122" t="s">
        <v>184</v>
      </c>
      <c r="I131" s="124" t="s">
        <v>184</v>
      </c>
      <c r="J131" s="122" t="s">
        <v>184</v>
      </c>
      <c r="K131" s="122" t="s">
        <v>184</v>
      </c>
      <c r="L131" s="125" t="s">
        <v>184</v>
      </c>
      <c r="M131" s="125" t="s">
        <v>184</v>
      </c>
      <c r="N131" s="125" t="s">
        <v>184</v>
      </c>
      <c r="O131" s="125" t="s">
        <v>184</v>
      </c>
      <c r="P131" s="125" t="s">
        <v>184</v>
      </c>
      <c r="Q131" s="125" t="s">
        <v>184</v>
      </c>
      <c r="R131" s="126" t="s">
        <v>184</v>
      </c>
      <c r="S131" s="127"/>
      <c r="T131" s="125" t="s">
        <v>184</v>
      </c>
      <c r="U131" s="125" t="s">
        <v>184</v>
      </c>
      <c r="V131" s="127"/>
      <c r="W131" s="125" t="s">
        <v>184</v>
      </c>
      <c r="X131" s="125" t="s">
        <v>184</v>
      </c>
      <c r="Y131" s="127"/>
      <c r="Z131" s="125" t="s">
        <v>184</v>
      </c>
      <c r="AA131" s="125" t="s">
        <v>184</v>
      </c>
      <c r="AB131" s="22" t="e">
        <f t="shared" si="39"/>
        <v>#DIV/0!</v>
      </c>
    </row>
    <row r="132" spans="1:28" s="34" customFormat="1" ht="12.75">
      <c r="A132" s="104"/>
      <c r="B132" s="128" t="s">
        <v>187</v>
      </c>
      <c r="C132" s="129"/>
      <c r="D132" s="122" t="s">
        <v>184</v>
      </c>
      <c r="E132" s="123" t="s">
        <v>184</v>
      </c>
      <c r="F132" s="123" t="s">
        <v>184</v>
      </c>
      <c r="G132" s="122" t="s">
        <v>184</v>
      </c>
      <c r="H132" s="122" t="s">
        <v>184</v>
      </c>
      <c r="I132" s="124" t="s">
        <v>184</v>
      </c>
      <c r="J132" s="122" t="s">
        <v>184</v>
      </c>
      <c r="K132" s="122" t="s">
        <v>184</v>
      </c>
      <c r="L132" s="125" t="s">
        <v>184</v>
      </c>
      <c r="M132" s="125" t="s">
        <v>184</v>
      </c>
      <c r="N132" s="125" t="s">
        <v>184</v>
      </c>
      <c r="O132" s="125" t="s">
        <v>184</v>
      </c>
      <c r="P132" s="125" t="s">
        <v>184</v>
      </c>
      <c r="Q132" s="125" t="s">
        <v>184</v>
      </c>
      <c r="R132" s="126" t="s">
        <v>184</v>
      </c>
      <c r="S132" s="127"/>
      <c r="T132" s="125" t="s">
        <v>184</v>
      </c>
      <c r="U132" s="125" t="s">
        <v>184</v>
      </c>
      <c r="V132" s="127"/>
      <c r="W132" s="125" t="s">
        <v>184</v>
      </c>
      <c r="X132" s="125" t="s">
        <v>184</v>
      </c>
      <c r="Y132" s="127"/>
      <c r="Z132" s="125" t="s">
        <v>184</v>
      </c>
      <c r="AA132" s="125" t="s">
        <v>184</v>
      </c>
      <c r="AB132" s="22" t="e">
        <f t="shared" si="39"/>
        <v>#DIV/0!</v>
      </c>
    </row>
    <row r="133" spans="1:28" s="34" customFormat="1" ht="25.5">
      <c r="A133" s="104"/>
      <c r="B133" s="130" t="s">
        <v>188</v>
      </c>
      <c r="C133" s="129"/>
      <c r="D133" s="122" t="s">
        <v>184</v>
      </c>
      <c r="E133" s="123" t="s">
        <v>184</v>
      </c>
      <c r="F133" s="123" t="s">
        <v>184</v>
      </c>
      <c r="G133" s="122" t="s">
        <v>184</v>
      </c>
      <c r="H133" s="122" t="s">
        <v>184</v>
      </c>
      <c r="I133" s="124" t="s">
        <v>184</v>
      </c>
      <c r="J133" s="122" t="s">
        <v>184</v>
      </c>
      <c r="K133" s="122" t="s">
        <v>184</v>
      </c>
      <c r="L133" s="127">
        <v>13.5</v>
      </c>
      <c r="M133" s="125" t="s">
        <v>184</v>
      </c>
      <c r="N133" s="125" t="s">
        <v>184</v>
      </c>
      <c r="O133" s="127">
        <v>14.5</v>
      </c>
      <c r="P133" s="125" t="s">
        <v>184</v>
      </c>
      <c r="Q133" s="125" t="s">
        <v>184</v>
      </c>
      <c r="R133" s="126" t="e">
        <f>O133/C133</f>
        <v>#DIV/0!</v>
      </c>
      <c r="S133" s="125" t="s">
        <v>184</v>
      </c>
      <c r="T133" s="125" t="s">
        <v>184</v>
      </c>
      <c r="U133" s="125" t="s">
        <v>184</v>
      </c>
      <c r="V133" s="125" t="s">
        <v>184</v>
      </c>
      <c r="W133" s="125" t="s">
        <v>184</v>
      </c>
      <c r="X133" s="125" t="s">
        <v>184</v>
      </c>
      <c r="Y133" s="127">
        <v>14.5</v>
      </c>
      <c r="Z133" s="125" t="s">
        <v>184</v>
      </c>
      <c r="AA133" s="125" t="s">
        <v>184</v>
      </c>
      <c r="AB133" s="22" t="e">
        <f t="shared" si="39"/>
        <v>#DIV/0!</v>
      </c>
    </row>
    <row r="134" spans="1:28" s="34" customFormat="1" ht="38.25">
      <c r="A134" s="104"/>
      <c r="B134" s="130" t="s">
        <v>189</v>
      </c>
      <c r="C134" s="129"/>
      <c r="D134" s="122" t="s">
        <v>184</v>
      </c>
      <c r="E134" s="123" t="s">
        <v>184</v>
      </c>
      <c r="F134" s="123" t="s">
        <v>184</v>
      </c>
      <c r="G134" s="122" t="s">
        <v>184</v>
      </c>
      <c r="H134" s="122" t="s">
        <v>184</v>
      </c>
      <c r="I134" s="124" t="s">
        <v>184</v>
      </c>
      <c r="J134" s="122" t="s">
        <v>184</v>
      </c>
      <c r="K134" s="122" t="s">
        <v>184</v>
      </c>
      <c r="L134" s="127">
        <v>14</v>
      </c>
      <c r="M134" s="125" t="s">
        <v>184</v>
      </c>
      <c r="N134" s="125" t="s">
        <v>184</v>
      </c>
      <c r="O134" s="127">
        <v>14</v>
      </c>
      <c r="P134" s="125" t="s">
        <v>184</v>
      </c>
      <c r="Q134" s="125" t="s">
        <v>184</v>
      </c>
      <c r="R134" s="126" t="e">
        <f t="shared" ref="R134:R141" si="40">O134/C134</f>
        <v>#DIV/0!</v>
      </c>
      <c r="S134" s="125" t="s">
        <v>184</v>
      </c>
      <c r="T134" s="125" t="s">
        <v>184</v>
      </c>
      <c r="U134" s="125" t="s">
        <v>184</v>
      </c>
      <c r="V134" s="125" t="s">
        <v>184</v>
      </c>
      <c r="W134" s="125" t="s">
        <v>184</v>
      </c>
      <c r="X134" s="125" t="s">
        <v>184</v>
      </c>
      <c r="Y134" s="127">
        <v>14</v>
      </c>
      <c r="Z134" s="125" t="s">
        <v>184</v>
      </c>
      <c r="AA134" s="125" t="s">
        <v>184</v>
      </c>
      <c r="AB134" s="22" t="e">
        <f t="shared" si="39"/>
        <v>#DIV/0!</v>
      </c>
    </row>
    <row r="135" spans="1:28" s="34" customFormat="1" ht="25.5">
      <c r="A135" s="104"/>
      <c r="B135" s="130" t="s">
        <v>190</v>
      </c>
      <c r="C135" s="129"/>
      <c r="D135" s="122" t="s">
        <v>184</v>
      </c>
      <c r="E135" s="123" t="s">
        <v>184</v>
      </c>
      <c r="F135" s="123" t="s">
        <v>184</v>
      </c>
      <c r="G135" s="122" t="s">
        <v>184</v>
      </c>
      <c r="H135" s="122" t="s">
        <v>184</v>
      </c>
      <c r="I135" s="124" t="s">
        <v>184</v>
      </c>
      <c r="J135" s="122" t="s">
        <v>184</v>
      </c>
      <c r="K135" s="122" t="s">
        <v>184</v>
      </c>
      <c r="L135" s="131"/>
      <c r="M135" s="125" t="s">
        <v>184</v>
      </c>
      <c r="N135" s="125" t="s">
        <v>184</v>
      </c>
      <c r="O135" s="132"/>
      <c r="P135" s="125" t="s">
        <v>184</v>
      </c>
      <c r="Q135" s="125" t="s">
        <v>184</v>
      </c>
      <c r="R135" s="126" t="e">
        <f t="shared" si="40"/>
        <v>#DIV/0!</v>
      </c>
      <c r="S135" s="125" t="s">
        <v>184</v>
      </c>
      <c r="T135" s="125" t="s">
        <v>184</v>
      </c>
      <c r="U135" s="125" t="s">
        <v>184</v>
      </c>
      <c r="V135" s="125" t="s">
        <v>184</v>
      </c>
      <c r="W135" s="125" t="s">
        <v>184</v>
      </c>
      <c r="X135" s="125" t="s">
        <v>184</v>
      </c>
      <c r="Y135" s="133"/>
      <c r="Z135" s="125" t="s">
        <v>184</v>
      </c>
      <c r="AA135" s="125" t="s">
        <v>184</v>
      </c>
      <c r="AB135" s="22" t="e">
        <f t="shared" si="39"/>
        <v>#DIV/0!</v>
      </c>
    </row>
    <row r="136" spans="1:28" s="34" customFormat="1" ht="25.5">
      <c r="A136" s="104"/>
      <c r="B136" s="130" t="s">
        <v>191</v>
      </c>
      <c r="C136" s="129"/>
      <c r="D136" s="122" t="s">
        <v>184</v>
      </c>
      <c r="E136" s="123" t="s">
        <v>184</v>
      </c>
      <c r="F136" s="123" t="s">
        <v>184</v>
      </c>
      <c r="G136" s="122" t="s">
        <v>184</v>
      </c>
      <c r="H136" s="122" t="s">
        <v>184</v>
      </c>
      <c r="I136" s="124" t="s">
        <v>184</v>
      </c>
      <c r="J136" s="122" t="s">
        <v>184</v>
      </c>
      <c r="K136" s="122" t="s">
        <v>184</v>
      </c>
      <c r="L136" s="131"/>
      <c r="M136" s="125" t="s">
        <v>184</v>
      </c>
      <c r="N136" s="125" t="s">
        <v>184</v>
      </c>
      <c r="O136" s="132"/>
      <c r="P136" s="125" t="s">
        <v>184</v>
      </c>
      <c r="Q136" s="125" t="s">
        <v>184</v>
      </c>
      <c r="R136" s="126" t="e">
        <f t="shared" si="40"/>
        <v>#DIV/0!</v>
      </c>
      <c r="S136" s="125" t="s">
        <v>184</v>
      </c>
      <c r="T136" s="125" t="s">
        <v>184</v>
      </c>
      <c r="U136" s="125" t="s">
        <v>184</v>
      </c>
      <c r="V136" s="125" t="s">
        <v>184</v>
      </c>
      <c r="W136" s="125" t="s">
        <v>184</v>
      </c>
      <c r="X136" s="125" t="s">
        <v>184</v>
      </c>
      <c r="Y136" s="133"/>
      <c r="Z136" s="125" t="s">
        <v>184</v>
      </c>
      <c r="AA136" s="125" t="s">
        <v>184</v>
      </c>
      <c r="AB136" s="22" t="e">
        <f t="shared" si="39"/>
        <v>#DIV/0!</v>
      </c>
    </row>
    <row r="137" spans="1:28" s="34" customFormat="1" ht="12.75">
      <c r="A137" s="104"/>
      <c r="B137" s="134" t="s">
        <v>192</v>
      </c>
      <c r="C137" s="129">
        <v>3</v>
      </c>
      <c r="D137" s="122" t="s">
        <v>184</v>
      </c>
      <c r="E137" s="123" t="s">
        <v>184</v>
      </c>
      <c r="F137" s="122" t="s">
        <v>184</v>
      </c>
      <c r="G137" s="122" t="s">
        <v>184</v>
      </c>
      <c r="H137" s="122" t="s">
        <v>184</v>
      </c>
      <c r="I137" s="124" t="s">
        <v>184</v>
      </c>
      <c r="J137" s="122" t="s">
        <v>184</v>
      </c>
      <c r="K137" s="122" t="s">
        <v>184</v>
      </c>
      <c r="L137" s="135">
        <v>3</v>
      </c>
      <c r="M137" s="125" t="s">
        <v>184</v>
      </c>
      <c r="N137" s="125" t="s">
        <v>184</v>
      </c>
      <c r="O137" s="135">
        <v>4</v>
      </c>
      <c r="P137" s="125" t="s">
        <v>184</v>
      </c>
      <c r="Q137" s="125" t="s">
        <v>184</v>
      </c>
      <c r="R137" s="126">
        <f t="shared" si="40"/>
        <v>1.3333333333333333</v>
      </c>
      <c r="S137" s="135">
        <v>4</v>
      </c>
      <c r="T137" s="125" t="s">
        <v>184</v>
      </c>
      <c r="U137" s="125" t="s">
        <v>184</v>
      </c>
      <c r="V137" s="125" t="s">
        <v>184</v>
      </c>
      <c r="W137" s="125" t="s">
        <v>184</v>
      </c>
      <c r="X137" s="125" t="s">
        <v>184</v>
      </c>
      <c r="Y137" s="135">
        <v>4</v>
      </c>
      <c r="Z137" s="125" t="s">
        <v>184</v>
      </c>
      <c r="AA137" s="125" t="s">
        <v>184</v>
      </c>
      <c r="AB137" s="22">
        <f t="shared" si="39"/>
        <v>1.3333333333333333</v>
      </c>
    </row>
    <row r="138" spans="1:28" s="34" customFormat="1" ht="12.75">
      <c r="A138" s="104"/>
      <c r="B138" s="134" t="s">
        <v>193</v>
      </c>
      <c r="C138" s="129"/>
      <c r="D138" s="122" t="s">
        <v>184</v>
      </c>
      <c r="E138" s="123" t="s">
        <v>184</v>
      </c>
      <c r="F138" s="122" t="s">
        <v>184</v>
      </c>
      <c r="G138" s="122" t="s">
        <v>184</v>
      </c>
      <c r="H138" s="122" t="s">
        <v>184</v>
      </c>
      <c r="I138" s="124" t="s">
        <v>184</v>
      </c>
      <c r="J138" s="122" t="s">
        <v>184</v>
      </c>
      <c r="K138" s="122" t="s">
        <v>184</v>
      </c>
      <c r="L138" s="131">
        <v>2</v>
      </c>
      <c r="M138" s="125" t="s">
        <v>184</v>
      </c>
      <c r="N138" s="125" t="s">
        <v>184</v>
      </c>
      <c r="O138" s="132">
        <v>2</v>
      </c>
      <c r="P138" s="125" t="s">
        <v>184</v>
      </c>
      <c r="Q138" s="125" t="s">
        <v>184</v>
      </c>
      <c r="R138" s="126" t="e">
        <f t="shared" si="40"/>
        <v>#DIV/0!</v>
      </c>
      <c r="S138" s="127">
        <v>2</v>
      </c>
      <c r="T138" s="125" t="s">
        <v>184</v>
      </c>
      <c r="U138" s="125" t="s">
        <v>184</v>
      </c>
      <c r="V138" s="125" t="s">
        <v>184</v>
      </c>
      <c r="W138" s="125" t="s">
        <v>184</v>
      </c>
      <c r="X138" s="125" t="s">
        <v>184</v>
      </c>
      <c r="Y138" s="133">
        <v>2</v>
      </c>
      <c r="Z138" s="125" t="s">
        <v>184</v>
      </c>
      <c r="AA138" s="125" t="s">
        <v>184</v>
      </c>
      <c r="AB138" s="22" t="e">
        <f t="shared" si="39"/>
        <v>#DIV/0!</v>
      </c>
    </row>
    <row r="139" spans="1:28" s="34" customFormat="1" ht="12.75">
      <c r="A139" s="104"/>
      <c r="B139" s="134" t="s">
        <v>194</v>
      </c>
      <c r="C139" s="129"/>
      <c r="D139" s="122"/>
      <c r="E139" s="123"/>
      <c r="F139" s="122"/>
      <c r="G139" s="122"/>
      <c r="H139" s="122"/>
      <c r="I139" s="124"/>
      <c r="J139" s="122"/>
      <c r="K139" s="122"/>
      <c r="L139" s="131">
        <v>1</v>
      </c>
      <c r="M139" s="125"/>
      <c r="N139" s="125"/>
      <c r="O139" s="132">
        <v>2</v>
      </c>
      <c r="P139" s="125"/>
      <c r="Q139" s="125"/>
      <c r="R139" s="126" t="e">
        <f t="shared" si="40"/>
        <v>#DIV/0!</v>
      </c>
      <c r="S139" s="127">
        <v>2</v>
      </c>
      <c r="T139" s="125"/>
      <c r="U139" s="125"/>
      <c r="V139" s="125"/>
      <c r="W139" s="125"/>
      <c r="X139" s="125"/>
      <c r="Y139" s="133">
        <v>2</v>
      </c>
      <c r="Z139" s="125"/>
      <c r="AA139" s="125"/>
      <c r="AB139" s="22" t="e">
        <f t="shared" si="39"/>
        <v>#DIV/0!</v>
      </c>
    </row>
    <row r="140" spans="1:28" s="34" customFormat="1" ht="12.75">
      <c r="A140" s="104"/>
      <c r="B140" s="134" t="s">
        <v>195</v>
      </c>
      <c r="C140" s="129"/>
      <c r="D140" s="122" t="s">
        <v>184</v>
      </c>
      <c r="E140" s="123" t="s">
        <v>184</v>
      </c>
      <c r="F140" s="122" t="s">
        <v>184</v>
      </c>
      <c r="G140" s="122" t="s">
        <v>184</v>
      </c>
      <c r="H140" s="122" t="s">
        <v>184</v>
      </c>
      <c r="I140" s="124" t="s">
        <v>184</v>
      </c>
      <c r="J140" s="122" t="s">
        <v>184</v>
      </c>
      <c r="K140" s="122" t="s">
        <v>184</v>
      </c>
      <c r="L140" s="131"/>
      <c r="M140" s="125" t="s">
        <v>184</v>
      </c>
      <c r="N140" s="125" t="s">
        <v>184</v>
      </c>
      <c r="O140" s="132"/>
      <c r="P140" s="125" t="s">
        <v>184</v>
      </c>
      <c r="Q140" s="125" t="s">
        <v>184</v>
      </c>
      <c r="R140" s="126" t="e">
        <f t="shared" si="40"/>
        <v>#DIV/0!</v>
      </c>
      <c r="S140" s="127"/>
      <c r="T140" s="125" t="s">
        <v>184</v>
      </c>
      <c r="U140" s="125" t="s">
        <v>184</v>
      </c>
      <c r="V140" s="125" t="s">
        <v>184</v>
      </c>
      <c r="W140" s="125" t="s">
        <v>184</v>
      </c>
      <c r="X140" s="125" t="s">
        <v>184</v>
      </c>
      <c r="Y140" s="133"/>
      <c r="Z140" s="125" t="s">
        <v>184</v>
      </c>
      <c r="AA140" s="125" t="s">
        <v>184</v>
      </c>
      <c r="AB140" s="22" t="e">
        <f t="shared" si="39"/>
        <v>#DIV/0!</v>
      </c>
    </row>
    <row r="141" spans="1:28" s="34" customFormat="1" ht="12.75">
      <c r="A141" s="104"/>
      <c r="B141" s="78" t="s">
        <v>196</v>
      </c>
      <c r="C141" s="129"/>
      <c r="D141" s="122" t="s">
        <v>184</v>
      </c>
      <c r="E141" s="123" t="s">
        <v>184</v>
      </c>
      <c r="F141" s="122" t="s">
        <v>184</v>
      </c>
      <c r="G141" s="122" t="s">
        <v>184</v>
      </c>
      <c r="H141" s="122" t="s">
        <v>184</v>
      </c>
      <c r="I141" s="124" t="s">
        <v>184</v>
      </c>
      <c r="J141" s="122" t="s">
        <v>184</v>
      </c>
      <c r="K141" s="122" t="s">
        <v>184</v>
      </c>
      <c r="L141" s="131"/>
      <c r="M141" s="125" t="s">
        <v>184</v>
      </c>
      <c r="N141" s="125" t="s">
        <v>184</v>
      </c>
      <c r="O141" s="132"/>
      <c r="P141" s="125" t="s">
        <v>184</v>
      </c>
      <c r="Q141" s="125" t="s">
        <v>184</v>
      </c>
      <c r="R141" s="126" t="e">
        <f t="shared" si="40"/>
        <v>#DIV/0!</v>
      </c>
      <c r="S141" s="133"/>
      <c r="T141" s="125" t="s">
        <v>184</v>
      </c>
      <c r="U141" s="125" t="s">
        <v>184</v>
      </c>
      <c r="V141" s="125" t="s">
        <v>184</v>
      </c>
      <c r="W141" s="125" t="s">
        <v>184</v>
      </c>
      <c r="X141" s="125" t="s">
        <v>184</v>
      </c>
      <c r="Y141" s="133"/>
      <c r="Z141" s="125" t="s">
        <v>184</v>
      </c>
      <c r="AA141" s="125" t="s">
        <v>184</v>
      </c>
      <c r="AB141" s="22" t="e">
        <f t="shared" si="39"/>
        <v>#DIV/0!</v>
      </c>
    </row>
    <row r="142" spans="1:28" s="34" customFormat="1">
      <c r="A142" s="136"/>
      <c r="B142" s="137"/>
      <c r="C142" s="138"/>
      <c r="D142" s="138"/>
      <c r="E142" s="139"/>
      <c r="F142" s="140"/>
      <c r="G142" s="140"/>
      <c r="H142" s="141"/>
      <c r="I142" s="141"/>
      <c r="J142" s="141"/>
      <c r="K142" s="141"/>
      <c r="L142" s="140"/>
      <c r="M142" s="140"/>
      <c r="N142" s="140"/>
      <c r="O142" s="142"/>
      <c r="P142" s="142"/>
      <c r="Q142" s="142"/>
      <c r="R142" s="143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5"/>
    </row>
    <row r="143" spans="1:28" s="34" customFormat="1" ht="15.75">
      <c r="A143" s="146"/>
      <c r="B143" s="147" t="s">
        <v>197</v>
      </c>
      <c r="C143" s="148"/>
      <c r="D143" s="148"/>
      <c r="E143" s="149"/>
      <c r="F143" s="150"/>
      <c r="G143" s="150"/>
      <c r="H143" s="151"/>
      <c r="I143" s="151"/>
      <c r="J143" s="151"/>
      <c r="K143" s="151"/>
      <c r="L143" s="152"/>
      <c r="M143" s="152"/>
      <c r="N143" s="152"/>
      <c r="R143" s="153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5"/>
    </row>
    <row r="144" spans="1:28" s="34" customFormat="1" ht="15.75">
      <c r="A144" s="146"/>
      <c r="B144" s="147" t="s">
        <v>198</v>
      </c>
      <c r="C144" s="148"/>
      <c r="D144" s="148"/>
      <c r="E144" s="149"/>
      <c r="F144" s="150"/>
      <c r="G144" s="150"/>
      <c r="H144" s="151"/>
      <c r="I144" s="151"/>
      <c r="J144" s="151"/>
      <c r="K144" s="151"/>
      <c r="L144" s="152"/>
      <c r="M144" s="152"/>
      <c r="N144" s="152"/>
      <c r="R144" s="153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5"/>
    </row>
    <row r="145" spans="1:28" s="34" customFormat="1" ht="15.75">
      <c r="A145" s="146"/>
      <c r="B145" s="147"/>
      <c r="C145" s="148"/>
      <c r="D145" s="148"/>
      <c r="E145" s="149"/>
      <c r="F145" s="150"/>
      <c r="G145" s="150"/>
      <c r="H145" s="151"/>
      <c r="I145" s="151"/>
      <c r="J145" s="151"/>
      <c r="K145" s="151"/>
      <c r="L145" s="152"/>
      <c r="M145" s="152"/>
      <c r="N145" s="152"/>
      <c r="R145" s="153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5"/>
    </row>
    <row r="146" spans="1:28" s="34" customFormat="1" ht="15.75">
      <c r="A146" s="146"/>
      <c r="B146" s="147" t="s">
        <v>199</v>
      </c>
      <c r="C146" s="148"/>
      <c r="D146" s="148"/>
      <c r="E146" s="149"/>
      <c r="F146" s="150"/>
      <c r="G146" s="150"/>
      <c r="H146" s="151"/>
      <c r="I146" s="151"/>
      <c r="J146" s="151"/>
      <c r="K146" s="151"/>
      <c r="L146" s="152"/>
      <c r="M146" s="152"/>
      <c r="N146" s="152"/>
      <c r="R146" s="153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5"/>
    </row>
    <row r="147" spans="1:28" s="34" customFormat="1" ht="15.75">
      <c r="A147" s="146"/>
      <c r="B147" s="147" t="s">
        <v>200</v>
      </c>
      <c r="C147" s="148"/>
      <c r="D147" s="148"/>
      <c r="E147" s="149"/>
      <c r="F147" s="150"/>
      <c r="G147" s="150"/>
      <c r="H147" s="151"/>
      <c r="I147" s="151"/>
      <c r="J147" s="151"/>
      <c r="K147" s="151"/>
      <c r="L147" s="152"/>
      <c r="M147" s="152"/>
      <c r="N147" s="152"/>
      <c r="R147" s="153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5"/>
    </row>
    <row r="148" spans="1:28" s="34" customFormat="1" ht="15.75">
      <c r="A148" s="146"/>
      <c r="B148" s="147"/>
      <c r="C148" s="148"/>
      <c r="D148" s="148"/>
      <c r="E148" s="149"/>
      <c r="F148" s="150"/>
      <c r="G148" s="150"/>
      <c r="H148" s="151"/>
      <c r="I148" s="151"/>
      <c r="J148" s="151"/>
      <c r="K148" s="151"/>
      <c r="L148" s="152"/>
      <c r="M148" s="152"/>
      <c r="N148" s="152"/>
      <c r="R148" s="153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5"/>
    </row>
    <row r="149" spans="1:28" s="34" customFormat="1" ht="15.75">
      <c r="A149" s="146"/>
      <c r="B149" s="147" t="s">
        <v>201</v>
      </c>
      <c r="C149" s="148"/>
      <c r="D149" s="148"/>
      <c r="E149" s="149"/>
      <c r="F149" s="150"/>
      <c r="G149" s="150"/>
      <c r="H149" s="151"/>
      <c r="I149" s="151"/>
      <c r="J149" s="151"/>
      <c r="K149" s="151"/>
      <c r="L149" s="152"/>
      <c r="M149" s="152"/>
      <c r="N149" s="152"/>
      <c r="R149" s="153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5"/>
    </row>
    <row r="150" spans="1:28" s="34" customFormat="1" ht="15.75">
      <c r="A150" s="146"/>
      <c r="B150" s="148"/>
      <c r="C150" s="148"/>
      <c r="D150" s="148"/>
      <c r="E150" s="149"/>
      <c r="F150" s="150"/>
      <c r="G150" s="150"/>
      <c r="H150" s="151"/>
      <c r="I150" s="151"/>
      <c r="J150" s="151"/>
      <c r="K150" s="151"/>
      <c r="L150" s="152"/>
      <c r="M150" s="152"/>
      <c r="N150" s="152"/>
      <c r="R150" s="153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5"/>
    </row>
    <row r="151" spans="1:28" s="34" customFormat="1">
      <c r="A151" s="146"/>
      <c r="B151" s="156"/>
      <c r="C151" s="156"/>
      <c r="D151" s="156"/>
      <c r="E151" s="157"/>
      <c r="F151" s="152"/>
      <c r="G151" s="152"/>
      <c r="H151" s="151"/>
      <c r="I151" s="151"/>
      <c r="J151" s="151"/>
      <c r="K151" s="151"/>
      <c r="L151" s="152"/>
      <c r="M151" s="152"/>
      <c r="N151" s="152"/>
      <c r="R151" s="153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5"/>
    </row>
    <row r="152" spans="1:28" s="34" customFormat="1">
      <c r="A152" s="146"/>
      <c r="B152" s="156"/>
      <c r="C152" s="156"/>
      <c r="D152" s="156"/>
      <c r="E152" s="157"/>
      <c r="F152" s="152"/>
      <c r="G152" s="152"/>
      <c r="H152" s="151"/>
      <c r="I152" s="151"/>
      <c r="J152" s="151"/>
      <c r="K152" s="151"/>
      <c r="L152" s="152"/>
      <c r="M152" s="152"/>
      <c r="N152" s="152"/>
      <c r="R152" s="153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5"/>
    </row>
    <row r="153" spans="1:28" s="34" customFormat="1">
      <c r="A153" s="146"/>
      <c r="B153" s="156"/>
      <c r="C153" s="156"/>
      <c r="D153" s="156"/>
      <c r="E153" s="157"/>
      <c r="F153" s="152"/>
      <c r="G153" s="152"/>
      <c r="H153" s="151"/>
      <c r="I153" s="151"/>
      <c r="J153" s="151"/>
      <c r="K153" s="151"/>
      <c r="L153" s="152"/>
      <c r="M153" s="152"/>
      <c r="N153" s="152"/>
      <c r="R153" s="153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5"/>
    </row>
    <row r="154" spans="1:28" s="34" customFormat="1">
      <c r="A154" s="146"/>
      <c r="B154" s="156"/>
      <c r="C154" s="156"/>
      <c r="D154" s="156"/>
      <c r="E154" s="157"/>
      <c r="F154" s="152"/>
      <c r="G154" s="152"/>
      <c r="H154" s="151"/>
      <c r="I154" s="151"/>
      <c r="J154" s="151"/>
      <c r="K154" s="151"/>
      <c r="L154" s="152"/>
      <c r="M154" s="152"/>
      <c r="N154" s="152"/>
      <c r="R154" s="153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5"/>
    </row>
    <row r="155" spans="1:28" s="34" customFormat="1">
      <c r="A155" s="146"/>
      <c r="B155" s="156"/>
      <c r="C155" s="156"/>
      <c r="D155" s="156"/>
      <c r="E155" s="157"/>
      <c r="F155" s="152"/>
      <c r="G155" s="152"/>
      <c r="H155" s="151"/>
      <c r="I155" s="151"/>
      <c r="J155" s="151"/>
      <c r="K155" s="151"/>
      <c r="L155" s="152"/>
      <c r="M155" s="152"/>
      <c r="N155" s="152"/>
      <c r="R155" s="153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5"/>
    </row>
    <row r="156" spans="1:28" s="34" customFormat="1">
      <c r="A156" s="146"/>
      <c r="B156" s="156"/>
      <c r="C156" s="156"/>
      <c r="D156" s="156"/>
      <c r="E156" s="157"/>
      <c r="F156" s="152"/>
      <c r="G156" s="152"/>
      <c r="H156" s="151"/>
      <c r="I156" s="151"/>
      <c r="J156" s="151"/>
      <c r="K156" s="151"/>
      <c r="L156" s="152"/>
      <c r="M156" s="152"/>
      <c r="N156" s="152"/>
      <c r="R156" s="153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5"/>
    </row>
    <row r="157" spans="1:28" s="34" customFormat="1">
      <c r="A157" s="146"/>
      <c r="B157" s="156"/>
      <c r="C157" s="156"/>
      <c r="D157" s="156"/>
      <c r="E157" s="157"/>
      <c r="F157" s="152"/>
      <c r="G157" s="152"/>
      <c r="H157" s="151"/>
      <c r="I157" s="151"/>
      <c r="J157" s="151"/>
      <c r="K157" s="151"/>
      <c r="L157" s="152"/>
      <c r="M157" s="152"/>
      <c r="N157" s="152"/>
      <c r="R157" s="153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5"/>
    </row>
    <row r="158" spans="1:28" s="34" customFormat="1">
      <c r="A158" s="146"/>
      <c r="B158" s="156"/>
      <c r="C158" s="156"/>
      <c r="D158" s="156"/>
      <c r="E158" s="157"/>
      <c r="F158" s="152"/>
      <c r="G158" s="152"/>
      <c r="H158" s="151"/>
      <c r="I158" s="151"/>
      <c r="J158" s="151"/>
      <c r="K158" s="151"/>
      <c r="L158" s="152"/>
      <c r="M158" s="152"/>
      <c r="N158" s="152"/>
      <c r="R158" s="153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5"/>
    </row>
    <row r="159" spans="1:28" s="34" customFormat="1">
      <c r="A159" s="146"/>
      <c r="B159" s="156"/>
      <c r="C159" s="156"/>
      <c r="D159" s="156"/>
      <c r="E159" s="157"/>
      <c r="F159" s="152"/>
      <c r="G159" s="152"/>
      <c r="H159" s="151"/>
      <c r="I159" s="151"/>
      <c r="J159" s="151"/>
      <c r="K159" s="151"/>
      <c r="L159" s="152"/>
      <c r="M159" s="152"/>
      <c r="N159" s="152"/>
      <c r="R159" s="153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5"/>
    </row>
    <row r="160" spans="1:28" s="34" customFormat="1">
      <c r="A160" s="146"/>
      <c r="B160" s="156"/>
      <c r="C160" s="156"/>
      <c r="D160" s="156"/>
      <c r="E160" s="157"/>
      <c r="F160" s="152"/>
      <c r="G160" s="152"/>
      <c r="H160" s="151"/>
      <c r="I160" s="151"/>
      <c r="J160" s="151"/>
      <c r="K160" s="151"/>
      <c r="L160" s="152"/>
      <c r="M160" s="152"/>
      <c r="N160" s="152"/>
      <c r="R160" s="153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5"/>
    </row>
    <row r="161" spans="1:28">
      <c r="A161" s="158"/>
      <c r="B161" s="156"/>
      <c r="C161" s="156"/>
      <c r="D161" s="156"/>
      <c r="E161" s="157"/>
      <c r="F161" s="152"/>
      <c r="G161" s="152"/>
      <c r="H161" s="151"/>
      <c r="I161" s="151"/>
      <c r="J161" s="151"/>
      <c r="K161" s="151"/>
      <c r="L161" s="152"/>
      <c r="M161" s="152"/>
      <c r="N161" s="152"/>
      <c r="O161" s="34"/>
      <c r="P161" s="34"/>
      <c r="Q161" s="34"/>
      <c r="R161" s="153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5"/>
    </row>
    <row r="162" spans="1:28">
      <c r="A162" s="158"/>
      <c r="B162" s="156"/>
      <c r="C162" s="156"/>
      <c r="D162" s="156"/>
      <c r="E162" s="157"/>
      <c r="F162" s="152"/>
      <c r="G162" s="152"/>
      <c r="H162" s="151"/>
      <c r="I162" s="151"/>
      <c r="J162" s="151"/>
      <c r="K162" s="151"/>
      <c r="L162" s="152"/>
      <c r="M162" s="152"/>
      <c r="N162" s="152"/>
      <c r="O162" s="34"/>
      <c r="P162" s="34"/>
      <c r="Q162" s="34"/>
      <c r="R162" s="153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5"/>
    </row>
    <row r="163" spans="1:28">
      <c r="A163" s="158"/>
      <c r="B163" s="156"/>
      <c r="C163" s="156"/>
      <c r="D163" s="156"/>
      <c r="E163" s="157"/>
      <c r="F163" s="152"/>
      <c r="G163" s="152"/>
      <c r="H163" s="151"/>
      <c r="I163" s="151"/>
      <c r="J163" s="151"/>
      <c r="K163" s="151"/>
      <c r="L163" s="152"/>
      <c r="M163" s="152"/>
      <c r="N163" s="152"/>
      <c r="O163" s="34"/>
      <c r="P163" s="34"/>
      <c r="Q163" s="34"/>
      <c r="R163" s="153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5"/>
    </row>
    <row r="164" spans="1:28">
      <c r="A164" s="158"/>
      <c r="B164" s="156"/>
      <c r="C164" s="156"/>
      <c r="D164" s="156"/>
      <c r="E164" s="157"/>
      <c r="F164" s="152"/>
      <c r="G164" s="152"/>
      <c r="H164" s="151"/>
      <c r="I164" s="151"/>
      <c r="J164" s="151"/>
      <c r="K164" s="151"/>
      <c r="L164" s="152"/>
      <c r="M164" s="152"/>
      <c r="N164" s="152"/>
      <c r="O164" s="34"/>
      <c r="P164" s="34"/>
      <c r="Q164" s="34"/>
      <c r="R164" s="153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5"/>
    </row>
    <row r="165" spans="1:28">
      <c r="A165" s="158"/>
      <c r="B165" s="156"/>
      <c r="C165" s="156"/>
      <c r="D165" s="156"/>
      <c r="E165" s="157"/>
      <c r="F165" s="152"/>
      <c r="G165" s="152"/>
      <c r="H165" s="151"/>
      <c r="I165" s="151"/>
      <c r="J165" s="151"/>
      <c r="K165" s="151"/>
      <c r="L165" s="152"/>
      <c r="M165" s="152"/>
      <c r="N165" s="152"/>
      <c r="O165" s="34"/>
      <c r="P165" s="34"/>
      <c r="Q165" s="34"/>
      <c r="R165" s="153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5"/>
    </row>
    <row r="166" spans="1:28">
      <c r="A166" s="158"/>
      <c r="B166" s="156"/>
      <c r="C166" s="156"/>
      <c r="D166" s="156"/>
      <c r="E166" s="157"/>
      <c r="F166" s="152"/>
      <c r="G166" s="152"/>
      <c r="H166" s="151"/>
      <c r="I166" s="151"/>
      <c r="J166" s="151"/>
      <c r="K166" s="151"/>
      <c r="L166" s="152"/>
      <c r="M166" s="152"/>
      <c r="N166" s="152"/>
      <c r="O166" s="34"/>
      <c r="P166" s="34"/>
      <c r="Q166" s="34"/>
      <c r="R166" s="153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5"/>
    </row>
    <row r="167" spans="1:28">
      <c r="A167" s="158"/>
      <c r="B167" s="156"/>
      <c r="C167" s="156"/>
      <c r="D167" s="156"/>
      <c r="E167" s="157"/>
      <c r="F167" s="152"/>
      <c r="G167" s="152"/>
      <c r="H167" s="151"/>
      <c r="I167" s="151"/>
      <c r="J167" s="151"/>
      <c r="K167" s="151"/>
      <c r="L167" s="152"/>
      <c r="M167" s="152"/>
      <c r="N167" s="152"/>
      <c r="O167" s="34"/>
      <c r="P167" s="34"/>
      <c r="Q167" s="34"/>
      <c r="R167" s="153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5"/>
    </row>
    <row r="168" spans="1:28">
      <c r="A168" s="158"/>
      <c r="B168" s="156"/>
      <c r="C168" s="156"/>
      <c r="D168" s="156"/>
      <c r="E168" s="157"/>
      <c r="F168" s="152"/>
      <c r="G168" s="152"/>
      <c r="H168" s="151"/>
      <c r="I168" s="151"/>
      <c r="J168" s="151"/>
      <c r="K168" s="151"/>
      <c r="L168" s="152"/>
      <c r="M168" s="152"/>
      <c r="N168" s="152"/>
      <c r="O168" s="34"/>
      <c r="P168" s="34"/>
      <c r="Q168" s="34"/>
      <c r="R168" s="153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5"/>
    </row>
    <row r="169" spans="1:28">
      <c r="A169" s="158"/>
      <c r="B169" s="156"/>
      <c r="C169" s="156"/>
      <c r="D169" s="156"/>
      <c r="E169" s="157"/>
      <c r="F169" s="152"/>
      <c r="G169" s="152"/>
      <c r="H169" s="151"/>
      <c r="I169" s="151"/>
      <c r="J169" s="151"/>
      <c r="K169" s="151"/>
      <c r="L169" s="152"/>
      <c r="M169" s="152"/>
      <c r="N169" s="152"/>
      <c r="O169" s="34"/>
      <c r="P169" s="34"/>
      <c r="Q169" s="34"/>
      <c r="R169" s="153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5"/>
    </row>
    <row r="170" spans="1:28">
      <c r="A170" s="158"/>
      <c r="B170" s="156"/>
      <c r="C170" s="156"/>
      <c r="D170" s="156"/>
      <c r="E170" s="157"/>
      <c r="F170" s="152"/>
      <c r="G170" s="152"/>
      <c r="H170" s="151"/>
      <c r="I170" s="151"/>
      <c r="J170" s="151"/>
      <c r="K170" s="151"/>
      <c r="L170" s="152"/>
      <c r="M170" s="152"/>
      <c r="N170" s="152"/>
      <c r="O170" s="34"/>
      <c r="P170" s="34"/>
      <c r="Q170" s="34"/>
      <c r="R170" s="153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5"/>
    </row>
    <row r="171" spans="1:28">
      <c r="A171" s="158"/>
      <c r="B171" s="156"/>
      <c r="C171" s="156"/>
      <c r="D171" s="156"/>
      <c r="E171" s="157"/>
      <c r="F171" s="152"/>
      <c r="G171" s="152"/>
      <c r="H171" s="151"/>
      <c r="I171" s="151"/>
      <c r="J171" s="151"/>
      <c r="K171" s="151"/>
      <c r="L171" s="152"/>
      <c r="M171" s="152"/>
      <c r="N171" s="152"/>
      <c r="O171" s="34"/>
      <c r="P171" s="34"/>
      <c r="Q171" s="34"/>
      <c r="R171" s="153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5"/>
    </row>
    <row r="172" spans="1:28">
      <c r="A172" s="158"/>
      <c r="B172" s="156"/>
      <c r="C172" s="156"/>
      <c r="D172" s="156"/>
      <c r="E172" s="157"/>
      <c r="F172" s="152"/>
      <c r="G172" s="152"/>
      <c r="H172" s="151"/>
      <c r="I172" s="151"/>
      <c r="J172" s="151"/>
      <c r="K172" s="151"/>
      <c r="L172" s="152"/>
      <c r="M172" s="152"/>
      <c r="N172" s="152"/>
      <c r="O172" s="34"/>
      <c r="P172" s="34"/>
      <c r="Q172" s="34"/>
      <c r="R172" s="153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5"/>
    </row>
    <row r="173" spans="1:28">
      <c r="A173" s="158"/>
      <c r="B173" s="156"/>
      <c r="C173" s="156"/>
      <c r="D173" s="156"/>
      <c r="E173" s="157"/>
      <c r="F173" s="152"/>
      <c r="G173" s="152"/>
      <c r="H173" s="151"/>
      <c r="I173" s="151"/>
      <c r="J173" s="151"/>
      <c r="K173" s="151"/>
      <c r="L173" s="152"/>
      <c r="M173" s="152"/>
      <c r="N173" s="152"/>
      <c r="O173" s="34"/>
      <c r="P173" s="34"/>
      <c r="Q173" s="34"/>
      <c r="R173" s="153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5"/>
    </row>
    <row r="174" spans="1:28">
      <c r="A174" s="158"/>
      <c r="B174" s="156"/>
      <c r="C174" s="156"/>
      <c r="D174" s="156"/>
      <c r="E174" s="157"/>
      <c r="F174" s="152"/>
      <c r="G174" s="152"/>
      <c r="H174" s="151"/>
      <c r="I174" s="151"/>
      <c r="J174" s="151"/>
      <c r="K174" s="151"/>
      <c r="L174" s="152"/>
      <c r="M174" s="152"/>
      <c r="N174" s="152"/>
      <c r="O174" s="34"/>
      <c r="P174" s="34"/>
      <c r="Q174" s="34"/>
      <c r="R174" s="153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5"/>
    </row>
    <row r="175" spans="1:28">
      <c r="A175" s="158"/>
      <c r="B175" s="156"/>
      <c r="C175" s="156"/>
      <c r="D175" s="156"/>
      <c r="E175" s="157"/>
      <c r="F175" s="152"/>
      <c r="G175" s="152"/>
      <c r="H175" s="151"/>
      <c r="I175" s="151"/>
      <c r="J175" s="151"/>
      <c r="K175" s="151"/>
      <c r="L175" s="152"/>
      <c r="M175" s="152"/>
      <c r="N175" s="152"/>
      <c r="O175" s="34"/>
      <c r="P175" s="34"/>
      <c r="Q175" s="34"/>
      <c r="R175" s="153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5"/>
    </row>
    <row r="176" spans="1:28">
      <c r="A176" s="158"/>
      <c r="B176" s="156"/>
      <c r="C176" s="156"/>
      <c r="D176" s="156"/>
      <c r="E176" s="157"/>
      <c r="F176" s="152"/>
      <c r="G176" s="152"/>
      <c r="H176" s="151"/>
      <c r="I176" s="151"/>
      <c r="J176" s="151"/>
      <c r="K176" s="151"/>
      <c r="L176" s="152"/>
      <c r="M176" s="152"/>
      <c r="N176" s="152"/>
      <c r="O176" s="34"/>
      <c r="P176" s="34"/>
      <c r="Q176" s="34"/>
      <c r="R176" s="153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5"/>
    </row>
    <row r="177" spans="1:28">
      <c r="A177" s="158"/>
      <c r="B177" s="156"/>
      <c r="C177" s="156"/>
      <c r="D177" s="156"/>
      <c r="E177" s="157"/>
      <c r="F177" s="152"/>
      <c r="G177" s="152"/>
      <c r="H177" s="151"/>
      <c r="I177" s="151"/>
      <c r="J177" s="151"/>
      <c r="K177" s="151"/>
      <c r="L177" s="152"/>
      <c r="M177" s="152"/>
      <c r="N177" s="152"/>
      <c r="O177" s="34"/>
      <c r="P177" s="34"/>
      <c r="Q177" s="34"/>
      <c r="R177" s="153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5"/>
    </row>
    <row r="178" spans="1:28">
      <c r="A178" s="158"/>
      <c r="B178" s="156"/>
      <c r="C178" s="156"/>
      <c r="D178" s="156"/>
      <c r="E178" s="157"/>
      <c r="F178" s="152"/>
      <c r="G178" s="152"/>
      <c r="H178" s="151"/>
      <c r="I178" s="151"/>
      <c r="J178" s="151"/>
      <c r="K178" s="151"/>
      <c r="L178" s="152"/>
      <c r="M178" s="152"/>
      <c r="N178" s="152"/>
      <c r="O178" s="34"/>
      <c r="P178" s="34"/>
      <c r="Q178" s="34"/>
      <c r="R178" s="153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5"/>
    </row>
    <row r="179" spans="1:28">
      <c r="A179" s="158"/>
      <c r="B179" s="156"/>
      <c r="C179" s="156"/>
      <c r="D179" s="156"/>
      <c r="E179" s="157"/>
      <c r="F179" s="152"/>
      <c r="G179" s="152"/>
      <c r="H179" s="151"/>
      <c r="I179" s="151"/>
      <c r="J179" s="151"/>
      <c r="K179" s="151"/>
      <c r="L179" s="152"/>
      <c r="M179" s="152"/>
      <c r="N179" s="152"/>
      <c r="O179" s="34"/>
      <c r="P179" s="34"/>
      <c r="Q179" s="34"/>
      <c r="R179" s="153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5"/>
    </row>
    <row r="180" spans="1:28">
      <c r="A180" s="158"/>
      <c r="B180" s="156"/>
      <c r="C180" s="156"/>
      <c r="D180" s="156"/>
      <c r="E180" s="157"/>
      <c r="F180" s="152"/>
      <c r="G180" s="152"/>
      <c r="H180" s="151"/>
      <c r="I180" s="151"/>
      <c r="J180" s="151"/>
      <c r="K180" s="151"/>
      <c r="L180" s="152"/>
      <c r="M180" s="152"/>
      <c r="N180" s="152"/>
      <c r="O180" s="34"/>
      <c r="P180" s="34"/>
      <c r="Q180" s="34"/>
      <c r="R180" s="153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5"/>
    </row>
    <row r="181" spans="1:28">
      <c r="A181" s="158"/>
      <c r="B181" s="156"/>
      <c r="C181" s="156"/>
      <c r="D181" s="156"/>
      <c r="E181" s="157"/>
      <c r="F181" s="152"/>
      <c r="G181" s="152"/>
      <c r="H181" s="151"/>
      <c r="I181" s="151"/>
      <c r="J181" s="151"/>
      <c r="K181" s="151"/>
      <c r="L181" s="152"/>
      <c r="M181" s="152"/>
      <c r="N181" s="152"/>
      <c r="O181" s="34"/>
      <c r="P181" s="34"/>
      <c r="Q181" s="34"/>
      <c r="R181" s="153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5"/>
    </row>
    <row r="182" spans="1:28">
      <c r="A182" s="158"/>
      <c r="B182" s="156"/>
      <c r="C182" s="156"/>
      <c r="D182" s="156"/>
      <c r="E182" s="157"/>
      <c r="F182" s="152"/>
      <c r="G182" s="152"/>
      <c r="H182" s="151"/>
      <c r="I182" s="151"/>
      <c r="J182" s="151"/>
      <c r="K182" s="151"/>
      <c r="L182" s="152"/>
      <c r="M182" s="152"/>
      <c r="N182" s="152"/>
      <c r="O182" s="34"/>
      <c r="P182" s="34"/>
      <c r="Q182" s="34"/>
      <c r="R182" s="153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5"/>
    </row>
    <row r="183" spans="1:28">
      <c r="A183" s="158"/>
      <c r="B183" s="156"/>
      <c r="C183" s="156"/>
      <c r="D183" s="156"/>
      <c r="E183" s="157"/>
      <c r="F183" s="152"/>
      <c r="G183" s="152"/>
      <c r="H183" s="151"/>
      <c r="I183" s="151"/>
      <c r="J183" s="151"/>
      <c r="K183" s="151"/>
      <c r="L183" s="152"/>
      <c r="M183" s="152"/>
      <c r="N183" s="152"/>
      <c r="O183" s="34"/>
      <c r="P183" s="34"/>
      <c r="Q183" s="34"/>
      <c r="R183" s="153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5"/>
    </row>
    <row r="184" spans="1:28">
      <c r="A184" s="158"/>
      <c r="B184" s="156"/>
      <c r="C184" s="156"/>
      <c r="D184" s="156"/>
      <c r="E184" s="157"/>
      <c r="F184" s="152"/>
      <c r="G184" s="152"/>
      <c r="H184" s="151"/>
      <c r="I184" s="151"/>
      <c r="J184" s="151"/>
      <c r="K184" s="151"/>
      <c r="L184" s="152"/>
      <c r="M184" s="152"/>
      <c r="N184" s="152"/>
      <c r="O184" s="34"/>
      <c r="P184" s="34"/>
      <c r="Q184" s="34"/>
      <c r="R184" s="153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5"/>
    </row>
    <row r="185" spans="1:28">
      <c r="A185" s="158"/>
      <c r="B185" s="156"/>
      <c r="C185" s="156"/>
      <c r="D185" s="156"/>
      <c r="E185" s="157"/>
      <c r="F185" s="152"/>
      <c r="G185" s="152"/>
      <c r="H185" s="151"/>
      <c r="I185" s="151"/>
      <c r="J185" s="151"/>
      <c r="K185" s="151"/>
      <c r="L185" s="152"/>
      <c r="M185" s="152"/>
      <c r="N185" s="152"/>
      <c r="O185" s="34"/>
      <c r="P185" s="34"/>
      <c r="Q185" s="34"/>
      <c r="R185" s="153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5"/>
    </row>
    <row r="186" spans="1:28">
      <c r="A186" s="158"/>
      <c r="B186" s="156"/>
      <c r="C186" s="156"/>
      <c r="D186" s="156"/>
      <c r="E186" s="157"/>
      <c r="F186" s="152"/>
      <c r="G186" s="152"/>
      <c r="H186" s="151"/>
      <c r="I186" s="151"/>
      <c r="J186" s="151"/>
      <c r="K186" s="151"/>
      <c r="L186" s="152"/>
      <c r="M186" s="152"/>
      <c r="N186" s="152"/>
      <c r="O186" s="34"/>
      <c r="P186" s="34"/>
      <c r="Q186" s="34"/>
      <c r="R186" s="153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5"/>
    </row>
    <row r="187" spans="1:28">
      <c r="A187" s="158"/>
      <c r="B187" s="156"/>
      <c r="C187" s="156"/>
      <c r="D187" s="156"/>
      <c r="E187" s="157"/>
      <c r="F187" s="152"/>
      <c r="G187" s="152"/>
      <c r="H187" s="151"/>
      <c r="I187" s="151"/>
      <c r="J187" s="151"/>
      <c r="K187" s="151"/>
      <c r="L187" s="152"/>
      <c r="M187" s="152"/>
      <c r="N187" s="152"/>
      <c r="O187" s="34"/>
      <c r="P187" s="34"/>
      <c r="Q187" s="34"/>
      <c r="R187" s="153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5"/>
    </row>
    <row r="188" spans="1:28">
      <c r="A188" s="158"/>
      <c r="B188" s="156"/>
      <c r="C188" s="156"/>
      <c r="D188" s="156"/>
      <c r="E188" s="157"/>
      <c r="F188" s="152"/>
      <c r="G188" s="152"/>
      <c r="H188" s="151"/>
      <c r="I188" s="151"/>
      <c r="J188" s="151"/>
      <c r="K188" s="151"/>
      <c r="L188" s="152"/>
      <c r="M188" s="152"/>
      <c r="N188" s="152"/>
      <c r="O188" s="34"/>
      <c r="P188" s="34"/>
      <c r="Q188" s="34"/>
      <c r="R188" s="153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5"/>
    </row>
    <row r="189" spans="1:28">
      <c r="A189" s="158"/>
      <c r="B189" s="156"/>
      <c r="C189" s="156"/>
      <c r="D189" s="156"/>
      <c r="E189" s="157"/>
      <c r="F189" s="152"/>
      <c r="G189" s="152"/>
      <c r="H189" s="151"/>
      <c r="I189" s="151"/>
      <c r="J189" s="151"/>
      <c r="K189" s="151"/>
      <c r="L189" s="152"/>
      <c r="M189" s="152"/>
      <c r="N189" s="152"/>
      <c r="O189" s="34"/>
      <c r="P189" s="34"/>
      <c r="Q189" s="34"/>
      <c r="R189" s="153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5"/>
    </row>
    <row r="190" spans="1:28">
      <c r="A190" s="158"/>
      <c r="B190" s="156"/>
      <c r="C190" s="156"/>
      <c r="D190" s="156"/>
      <c r="E190" s="157"/>
      <c r="F190" s="152"/>
      <c r="G190" s="152"/>
      <c r="H190" s="151"/>
      <c r="I190" s="151"/>
      <c r="J190" s="151"/>
      <c r="K190" s="151"/>
      <c r="L190" s="152"/>
      <c r="M190" s="152"/>
      <c r="N190" s="152"/>
      <c r="O190" s="34"/>
      <c r="P190" s="34"/>
      <c r="Q190" s="34"/>
      <c r="R190" s="153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5"/>
    </row>
    <row r="191" spans="1:28">
      <c r="A191" s="158"/>
      <c r="B191" s="156"/>
      <c r="C191" s="156"/>
      <c r="D191" s="156"/>
      <c r="E191" s="157"/>
      <c r="F191" s="152"/>
      <c r="G191" s="152"/>
      <c r="H191" s="151"/>
      <c r="I191" s="151"/>
      <c r="J191" s="151"/>
      <c r="K191" s="151"/>
      <c r="L191" s="152"/>
      <c r="M191" s="152"/>
      <c r="N191" s="152"/>
      <c r="O191" s="34"/>
      <c r="P191" s="34"/>
      <c r="Q191" s="34"/>
      <c r="R191" s="153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5"/>
    </row>
    <row r="192" spans="1:28">
      <c r="A192" s="158"/>
      <c r="B192" s="156"/>
      <c r="C192" s="156"/>
      <c r="D192" s="156"/>
      <c r="E192" s="157"/>
      <c r="F192" s="152"/>
      <c r="G192" s="152"/>
      <c r="H192" s="151"/>
      <c r="I192" s="151"/>
      <c r="J192" s="151"/>
      <c r="K192" s="151"/>
      <c r="L192" s="152"/>
      <c r="M192" s="152"/>
      <c r="N192" s="152"/>
      <c r="O192" s="34"/>
      <c r="P192" s="34"/>
      <c r="Q192" s="34"/>
      <c r="R192" s="153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5"/>
    </row>
    <row r="193" spans="1:28">
      <c r="A193" s="158"/>
      <c r="B193" s="156"/>
      <c r="C193" s="156"/>
      <c r="D193" s="156"/>
      <c r="E193" s="157"/>
      <c r="F193" s="152"/>
      <c r="G193" s="152"/>
      <c r="H193" s="151"/>
      <c r="I193" s="151"/>
      <c r="J193" s="151"/>
      <c r="K193" s="151"/>
      <c r="L193" s="152"/>
      <c r="M193" s="152"/>
      <c r="N193" s="152"/>
      <c r="O193" s="34"/>
      <c r="P193" s="34"/>
      <c r="Q193" s="34"/>
      <c r="R193" s="153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5"/>
    </row>
    <row r="194" spans="1:28">
      <c r="A194" s="158"/>
      <c r="B194" s="156"/>
      <c r="C194" s="156"/>
      <c r="D194" s="156"/>
      <c r="E194" s="157"/>
      <c r="F194" s="152"/>
      <c r="G194" s="152"/>
      <c r="H194" s="151"/>
      <c r="I194" s="151"/>
      <c r="J194" s="151"/>
      <c r="K194" s="151"/>
      <c r="L194" s="152"/>
      <c r="M194" s="152"/>
      <c r="N194" s="152"/>
      <c r="O194" s="34"/>
      <c r="P194" s="34"/>
      <c r="Q194" s="34"/>
      <c r="R194" s="153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5"/>
    </row>
    <row r="195" spans="1:28">
      <c r="A195" s="158"/>
      <c r="B195" s="156"/>
      <c r="C195" s="156"/>
      <c r="D195" s="156"/>
      <c r="E195" s="157"/>
      <c r="F195" s="152"/>
      <c r="G195" s="152"/>
      <c r="H195" s="151"/>
      <c r="I195" s="151"/>
      <c r="J195" s="151"/>
      <c r="K195" s="151"/>
      <c r="L195" s="152"/>
      <c r="M195" s="152"/>
      <c r="N195" s="152"/>
      <c r="O195" s="34"/>
      <c r="P195" s="34"/>
      <c r="Q195" s="34"/>
      <c r="R195" s="153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5"/>
    </row>
    <row r="196" spans="1:28">
      <c r="A196" s="158"/>
      <c r="B196" s="156"/>
      <c r="C196" s="156"/>
      <c r="D196" s="156"/>
      <c r="E196" s="157"/>
      <c r="F196" s="152"/>
      <c r="G196" s="152"/>
      <c r="H196" s="151"/>
      <c r="I196" s="151"/>
      <c r="J196" s="151"/>
      <c r="K196" s="151"/>
      <c r="L196" s="152"/>
      <c r="M196" s="152"/>
      <c r="N196" s="152"/>
      <c r="O196" s="34"/>
      <c r="P196" s="34"/>
      <c r="Q196" s="34"/>
      <c r="R196" s="153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5"/>
    </row>
    <row r="197" spans="1:28">
      <c r="A197" s="158"/>
      <c r="B197" s="156"/>
      <c r="C197" s="156"/>
      <c r="D197" s="156"/>
      <c r="E197" s="157"/>
      <c r="F197" s="152"/>
      <c r="G197" s="152"/>
      <c r="H197" s="151"/>
      <c r="I197" s="151"/>
      <c r="J197" s="151"/>
      <c r="K197" s="151"/>
      <c r="L197" s="152"/>
      <c r="M197" s="152"/>
      <c r="N197" s="152"/>
      <c r="O197" s="34"/>
      <c r="P197" s="34"/>
      <c r="Q197" s="34"/>
      <c r="R197" s="153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5"/>
    </row>
    <row r="198" spans="1:28">
      <c r="A198" s="158"/>
      <c r="B198" s="156"/>
      <c r="C198" s="156"/>
      <c r="D198" s="156"/>
      <c r="E198" s="157"/>
      <c r="F198" s="152"/>
      <c r="G198" s="152"/>
      <c r="H198" s="151"/>
      <c r="I198" s="151"/>
      <c r="J198" s="151"/>
      <c r="K198" s="151"/>
      <c r="L198" s="152"/>
      <c r="M198" s="152"/>
      <c r="N198" s="152"/>
      <c r="O198" s="34"/>
      <c r="P198" s="34"/>
      <c r="Q198" s="34"/>
      <c r="R198" s="153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5"/>
    </row>
    <row r="199" spans="1:28">
      <c r="A199" s="158"/>
      <c r="B199" s="156"/>
      <c r="C199" s="156"/>
      <c r="D199" s="156"/>
      <c r="E199" s="157"/>
      <c r="F199" s="152"/>
      <c r="G199" s="152"/>
      <c r="H199" s="151"/>
      <c r="I199" s="151"/>
      <c r="J199" s="151"/>
      <c r="K199" s="151"/>
      <c r="L199" s="152"/>
      <c r="M199" s="152"/>
      <c r="N199" s="152"/>
      <c r="O199" s="34"/>
      <c r="P199" s="34"/>
      <c r="Q199" s="34"/>
      <c r="R199" s="153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5"/>
    </row>
    <row r="200" spans="1:28">
      <c r="A200" s="158"/>
      <c r="B200" s="156"/>
      <c r="C200" s="156"/>
      <c r="D200" s="156"/>
      <c r="E200" s="157"/>
      <c r="F200" s="152"/>
      <c r="G200" s="152"/>
      <c r="H200" s="151"/>
      <c r="I200" s="151"/>
      <c r="J200" s="151"/>
      <c r="K200" s="151"/>
      <c r="L200" s="152"/>
      <c r="M200" s="152"/>
      <c r="N200" s="152"/>
      <c r="O200" s="34"/>
      <c r="P200" s="34"/>
      <c r="Q200" s="34"/>
      <c r="R200" s="153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5"/>
    </row>
    <row r="201" spans="1:28">
      <c r="A201" s="158"/>
      <c r="B201" s="156"/>
      <c r="C201" s="156"/>
      <c r="D201" s="156"/>
      <c r="E201" s="157"/>
      <c r="F201" s="152"/>
      <c r="G201" s="152"/>
      <c r="H201" s="151"/>
      <c r="I201" s="151"/>
      <c r="J201" s="151"/>
      <c r="K201" s="151"/>
      <c r="L201" s="152"/>
      <c r="M201" s="152"/>
      <c r="N201" s="152"/>
      <c r="O201" s="34"/>
      <c r="P201" s="34"/>
      <c r="Q201" s="34"/>
      <c r="R201" s="153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5"/>
    </row>
    <row r="202" spans="1:28">
      <c r="A202" s="158"/>
      <c r="B202" s="156"/>
      <c r="C202" s="156"/>
      <c r="D202" s="156"/>
      <c r="E202" s="157"/>
      <c r="F202" s="152"/>
      <c r="G202" s="152"/>
      <c r="H202" s="151"/>
      <c r="I202" s="151"/>
      <c r="J202" s="151"/>
      <c r="K202" s="151"/>
      <c r="L202" s="152"/>
      <c r="M202" s="152"/>
      <c r="N202" s="152"/>
      <c r="O202" s="34"/>
      <c r="P202" s="34"/>
      <c r="Q202" s="34"/>
      <c r="R202" s="153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5"/>
    </row>
    <row r="203" spans="1:28">
      <c r="A203" s="158"/>
      <c r="B203" s="156"/>
      <c r="C203" s="156"/>
      <c r="D203" s="156"/>
      <c r="E203" s="157"/>
      <c r="F203" s="152"/>
      <c r="G203" s="152"/>
      <c r="H203" s="151"/>
      <c r="I203" s="151"/>
      <c r="J203" s="151"/>
      <c r="K203" s="151"/>
      <c r="L203" s="152"/>
      <c r="M203" s="152"/>
      <c r="N203" s="152"/>
      <c r="O203" s="34"/>
      <c r="P203" s="34"/>
      <c r="Q203" s="34"/>
      <c r="R203" s="153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5"/>
    </row>
    <row r="204" spans="1:28">
      <c r="A204" s="158"/>
      <c r="B204" s="156"/>
      <c r="C204" s="156"/>
      <c r="D204" s="156"/>
      <c r="E204" s="157"/>
      <c r="F204" s="152"/>
      <c r="G204" s="152"/>
      <c r="H204" s="151"/>
      <c r="I204" s="151"/>
      <c r="J204" s="151"/>
      <c r="K204" s="151"/>
      <c r="L204" s="152"/>
      <c r="M204" s="152"/>
      <c r="N204" s="152"/>
      <c r="O204" s="34"/>
      <c r="P204" s="34"/>
      <c r="Q204" s="34"/>
      <c r="R204" s="153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5"/>
    </row>
    <row r="205" spans="1:28">
      <c r="A205" s="158"/>
      <c r="B205" s="156"/>
      <c r="C205" s="156"/>
      <c r="D205" s="156"/>
      <c r="E205" s="157"/>
      <c r="F205" s="152"/>
      <c r="G205" s="152"/>
      <c r="H205" s="151"/>
      <c r="I205" s="151"/>
      <c r="J205" s="151"/>
      <c r="K205" s="151"/>
      <c r="L205" s="152"/>
      <c r="M205" s="152"/>
      <c r="N205" s="152"/>
      <c r="O205" s="34"/>
      <c r="P205" s="34"/>
      <c r="Q205" s="34"/>
      <c r="R205" s="153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5"/>
    </row>
    <row r="206" spans="1:28">
      <c r="A206" s="158"/>
      <c r="B206" s="156"/>
      <c r="C206" s="156"/>
      <c r="D206" s="156"/>
      <c r="E206" s="157"/>
      <c r="F206" s="152"/>
      <c r="G206" s="152"/>
      <c r="H206" s="151"/>
      <c r="I206" s="151"/>
      <c r="J206" s="151"/>
      <c r="K206" s="151"/>
      <c r="L206" s="152"/>
      <c r="M206" s="152"/>
      <c r="N206" s="152"/>
      <c r="O206" s="34"/>
      <c r="P206" s="34"/>
      <c r="Q206" s="34"/>
      <c r="R206" s="153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5"/>
    </row>
    <row r="207" spans="1:28">
      <c r="A207" s="158"/>
      <c r="B207" s="156"/>
      <c r="C207" s="156"/>
      <c r="D207" s="156"/>
      <c r="E207" s="157"/>
      <c r="F207" s="152"/>
      <c r="G207" s="152"/>
      <c r="H207" s="151"/>
      <c r="I207" s="151"/>
      <c r="J207" s="151"/>
      <c r="K207" s="151"/>
      <c r="L207" s="152"/>
      <c r="M207" s="152"/>
      <c r="N207" s="152"/>
      <c r="O207" s="34"/>
      <c r="P207" s="34"/>
      <c r="Q207" s="34"/>
      <c r="R207" s="153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5"/>
    </row>
    <row r="208" spans="1:28">
      <c r="A208" s="158"/>
      <c r="B208" s="156"/>
      <c r="C208" s="156"/>
      <c r="D208" s="156"/>
      <c r="E208" s="157"/>
      <c r="F208" s="152"/>
      <c r="G208" s="152"/>
      <c r="H208" s="151"/>
      <c r="I208" s="151"/>
      <c r="J208" s="151"/>
      <c r="K208" s="151"/>
      <c r="L208" s="152"/>
      <c r="M208" s="152"/>
      <c r="N208" s="152"/>
      <c r="O208" s="34"/>
      <c r="P208" s="34"/>
      <c r="Q208" s="34"/>
      <c r="R208" s="153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5"/>
    </row>
    <row r="209" spans="1:28">
      <c r="A209" s="158"/>
      <c r="B209" s="156"/>
      <c r="C209" s="156"/>
      <c r="D209" s="156"/>
      <c r="E209" s="157"/>
      <c r="F209" s="152"/>
      <c r="G209" s="152"/>
      <c r="H209" s="151"/>
      <c r="I209" s="151"/>
      <c r="J209" s="151"/>
      <c r="K209" s="151"/>
      <c r="L209" s="152"/>
      <c r="M209" s="152"/>
      <c r="N209" s="152"/>
      <c r="O209" s="34"/>
      <c r="P209" s="34"/>
      <c r="Q209" s="34"/>
      <c r="R209" s="153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5"/>
    </row>
    <row r="210" spans="1:28">
      <c r="A210" s="158"/>
      <c r="B210" s="156"/>
      <c r="C210" s="156"/>
      <c r="D210" s="156"/>
      <c r="E210" s="157"/>
      <c r="F210" s="152"/>
      <c r="G210" s="152"/>
      <c r="H210" s="151"/>
      <c r="I210" s="151"/>
      <c r="J210" s="151"/>
      <c r="K210" s="151"/>
      <c r="L210" s="152"/>
      <c r="M210" s="152"/>
      <c r="N210" s="152"/>
      <c r="O210" s="34"/>
      <c r="P210" s="34"/>
      <c r="Q210" s="34"/>
      <c r="R210" s="153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5"/>
    </row>
    <row r="211" spans="1:28">
      <c r="A211" s="158"/>
      <c r="B211" s="156"/>
      <c r="C211" s="156"/>
      <c r="D211" s="156"/>
      <c r="E211" s="157"/>
      <c r="F211" s="152"/>
      <c r="G211" s="152"/>
      <c r="H211" s="151"/>
      <c r="I211" s="151"/>
      <c r="J211" s="151"/>
      <c r="K211" s="151"/>
      <c r="L211" s="152"/>
      <c r="M211" s="152"/>
      <c r="N211" s="152"/>
      <c r="O211" s="34"/>
      <c r="P211" s="34"/>
      <c r="Q211" s="34"/>
      <c r="R211" s="153"/>
      <c r="S211" s="154"/>
      <c r="T211" s="154"/>
      <c r="U211" s="154"/>
      <c r="V211" s="154"/>
      <c r="W211" s="154"/>
      <c r="X211" s="154"/>
      <c r="Y211" s="154"/>
      <c r="Z211" s="154"/>
      <c r="AA211" s="154"/>
      <c r="AB211" s="155"/>
    </row>
    <row r="212" spans="1:28">
      <c r="A212" s="158"/>
      <c r="B212" s="156"/>
      <c r="C212" s="156"/>
      <c r="D212" s="156"/>
      <c r="E212" s="157"/>
      <c r="F212" s="152"/>
      <c r="G212" s="152"/>
      <c r="H212" s="151"/>
      <c r="I212" s="151"/>
      <c r="J212" s="151"/>
      <c r="K212" s="151"/>
      <c r="L212" s="152"/>
      <c r="M212" s="152"/>
      <c r="N212" s="152"/>
      <c r="O212" s="34"/>
      <c r="P212" s="34"/>
      <c r="Q212" s="34"/>
      <c r="R212" s="153"/>
      <c r="S212" s="154"/>
      <c r="T212" s="154"/>
      <c r="U212" s="154"/>
      <c r="V212" s="154"/>
      <c r="W212" s="154"/>
      <c r="X212" s="154"/>
      <c r="Y212" s="154"/>
      <c r="Z212" s="154"/>
      <c r="AA212" s="154"/>
      <c r="AB212" s="155"/>
    </row>
    <row r="213" spans="1:28">
      <c r="A213" s="158"/>
      <c r="B213" s="156"/>
      <c r="C213" s="156"/>
      <c r="D213" s="156"/>
      <c r="E213" s="157"/>
      <c r="F213" s="152"/>
      <c r="G213" s="152"/>
      <c r="H213" s="151"/>
      <c r="I213" s="151"/>
      <c r="J213" s="151"/>
      <c r="K213" s="151"/>
      <c r="L213" s="152"/>
      <c r="M213" s="152"/>
      <c r="N213" s="152"/>
      <c r="O213" s="34"/>
      <c r="P213" s="34"/>
      <c r="Q213" s="34"/>
      <c r="R213" s="153"/>
      <c r="S213" s="154"/>
      <c r="T213" s="154"/>
      <c r="U213" s="154"/>
      <c r="V213" s="154"/>
      <c r="W213" s="154"/>
      <c r="X213" s="154"/>
      <c r="Y213" s="154"/>
      <c r="Z213" s="154"/>
      <c r="AA213" s="154"/>
      <c r="AB213" s="155"/>
    </row>
    <row r="214" spans="1:28">
      <c r="A214" s="158"/>
      <c r="B214" s="156"/>
      <c r="C214" s="156"/>
      <c r="D214" s="156"/>
      <c r="E214" s="157"/>
      <c r="F214" s="152"/>
      <c r="G214" s="152"/>
      <c r="H214" s="151"/>
      <c r="I214" s="151"/>
      <c r="J214" s="151"/>
      <c r="K214" s="151"/>
      <c r="L214" s="152"/>
      <c r="M214" s="152"/>
      <c r="N214" s="152"/>
      <c r="O214" s="34"/>
      <c r="P214" s="34"/>
      <c r="Q214" s="34"/>
      <c r="R214" s="153"/>
      <c r="S214" s="154"/>
      <c r="T214" s="154"/>
      <c r="U214" s="154"/>
      <c r="V214" s="154"/>
      <c r="W214" s="154"/>
      <c r="X214" s="154"/>
      <c r="Y214" s="154"/>
      <c r="Z214" s="154"/>
      <c r="AA214" s="154"/>
      <c r="AB214" s="155"/>
    </row>
    <row r="215" spans="1:28">
      <c r="A215" s="158"/>
      <c r="B215" s="156"/>
      <c r="C215" s="156"/>
      <c r="D215" s="156"/>
      <c r="E215" s="157"/>
      <c r="F215" s="152"/>
      <c r="G215" s="152"/>
      <c r="H215" s="151"/>
      <c r="I215" s="151"/>
      <c r="J215" s="151"/>
      <c r="K215" s="151"/>
      <c r="L215" s="152"/>
      <c r="M215" s="152"/>
      <c r="N215" s="152"/>
      <c r="O215" s="34"/>
      <c r="P215" s="34"/>
      <c r="Q215" s="34"/>
      <c r="R215" s="153"/>
      <c r="S215" s="154"/>
      <c r="T215" s="154"/>
      <c r="U215" s="154"/>
      <c r="V215" s="154"/>
      <c r="W215" s="154"/>
      <c r="X215" s="154"/>
      <c r="Y215" s="154"/>
      <c r="Z215" s="154"/>
      <c r="AA215" s="154"/>
      <c r="AB215" s="155"/>
    </row>
    <row r="216" spans="1:28">
      <c r="A216" s="158"/>
      <c r="B216" s="156"/>
      <c r="C216" s="156"/>
      <c r="D216" s="156"/>
      <c r="E216" s="157"/>
      <c r="F216" s="152"/>
      <c r="G216" s="152"/>
      <c r="H216" s="151"/>
      <c r="I216" s="151"/>
      <c r="J216" s="151"/>
      <c r="K216" s="151"/>
      <c r="L216" s="152"/>
      <c r="M216" s="152"/>
      <c r="N216" s="152"/>
      <c r="O216" s="34"/>
      <c r="P216" s="34"/>
      <c r="Q216" s="34"/>
      <c r="R216" s="153"/>
      <c r="S216" s="154"/>
      <c r="T216" s="154"/>
      <c r="U216" s="154"/>
      <c r="V216" s="154"/>
      <c r="W216" s="154"/>
      <c r="X216" s="154"/>
      <c r="Y216" s="154"/>
      <c r="Z216" s="154"/>
      <c r="AA216" s="154"/>
      <c r="AB216" s="155"/>
    </row>
    <row r="217" spans="1:28">
      <c r="A217" s="158"/>
      <c r="B217" s="156"/>
      <c r="C217" s="156"/>
      <c r="D217" s="156"/>
      <c r="E217" s="157"/>
      <c r="F217" s="152"/>
      <c r="G217" s="152"/>
      <c r="H217" s="151"/>
      <c r="I217" s="151"/>
      <c r="J217" s="151"/>
      <c r="K217" s="151"/>
      <c r="L217" s="152"/>
      <c r="M217" s="152"/>
      <c r="N217" s="152"/>
      <c r="O217" s="34"/>
      <c r="P217" s="34"/>
      <c r="Q217" s="34"/>
      <c r="R217" s="153"/>
      <c r="S217" s="154"/>
      <c r="T217" s="154"/>
      <c r="U217" s="154"/>
      <c r="V217" s="154"/>
      <c r="W217" s="154"/>
      <c r="X217" s="154"/>
      <c r="Y217" s="154"/>
      <c r="Z217" s="154"/>
      <c r="AA217" s="154"/>
      <c r="AB217" s="155"/>
    </row>
    <row r="218" spans="1:28">
      <c r="A218" s="158"/>
      <c r="B218" s="156"/>
      <c r="C218" s="156"/>
      <c r="D218" s="156"/>
      <c r="E218" s="157"/>
      <c r="F218" s="152"/>
      <c r="G218" s="152"/>
      <c r="H218" s="151"/>
      <c r="I218" s="151"/>
      <c r="J218" s="151"/>
      <c r="K218" s="151"/>
      <c r="L218" s="152"/>
      <c r="M218" s="152"/>
      <c r="N218" s="152"/>
      <c r="O218" s="34"/>
      <c r="P218" s="34"/>
      <c r="Q218" s="34"/>
      <c r="R218" s="153"/>
      <c r="S218" s="154"/>
      <c r="T218" s="154"/>
      <c r="U218" s="154"/>
      <c r="V218" s="154"/>
      <c r="W218" s="154"/>
      <c r="X218" s="154"/>
      <c r="Y218" s="154"/>
      <c r="Z218" s="154"/>
      <c r="AA218" s="154"/>
      <c r="AB218" s="155"/>
    </row>
    <row r="219" spans="1:28">
      <c r="A219" s="158"/>
      <c r="B219" s="156"/>
      <c r="C219" s="156"/>
      <c r="D219" s="156"/>
      <c r="E219" s="157"/>
      <c r="F219" s="152"/>
      <c r="G219" s="152"/>
      <c r="H219" s="151"/>
      <c r="I219" s="151"/>
      <c r="J219" s="151"/>
      <c r="K219" s="151"/>
      <c r="L219" s="152"/>
      <c r="M219" s="152"/>
      <c r="N219" s="152"/>
      <c r="O219" s="34"/>
      <c r="P219" s="34"/>
      <c r="Q219" s="34"/>
      <c r="R219" s="153"/>
      <c r="S219" s="154"/>
      <c r="T219" s="154"/>
      <c r="U219" s="154"/>
      <c r="V219" s="154"/>
      <c r="W219" s="154"/>
      <c r="X219" s="154"/>
      <c r="Y219" s="154"/>
      <c r="Z219" s="154"/>
      <c r="AA219" s="154"/>
      <c r="AB219" s="155"/>
    </row>
    <row r="220" spans="1:28">
      <c r="A220" s="158"/>
      <c r="B220" s="156"/>
      <c r="C220" s="156"/>
      <c r="D220" s="156"/>
      <c r="E220" s="157"/>
      <c r="F220" s="152"/>
      <c r="G220" s="152"/>
      <c r="H220" s="151"/>
      <c r="I220" s="151"/>
      <c r="J220" s="151"/>
      <c r="K220" s="151"/>
      <c r="L220" s="152"/>
      <c r="M220" s="152"/>
      <c r="N220" s="152"/>
      <c r="O220" s="34"/>
      <c r="P220" s="34"/>
      <c r="Q220" s="34"/>
      <c r="R220" s="153"/>
      <c r="S220" s="154"/>
      <c r="T220" s="154"/>
      <c r="U220" s="154"/>
      <c r="V220" s="154"/>
      <c r="W220" s="154"/>
      <c r="X220" s="154"/>
      <c r="Y220" s="154"/>
      <c r="Z220" s="154"/>
      <c r="AA220" s="154"/>
      <c r="AB220" s="155"/>
    </row>
    <row r="221" spans="1:28">
      <c r="A221" s="158"/>
      <c r="B221" s="156"/>
      <c r="C221" s="156"/>
      <c r="D221" s="156"/>
      <c r="E221" s="157"/>
      <c r="F221" s="152"/>
      <c r="G221" s="152"/>
      <c r="H221" s="151"/>
      <c r="I221" s="151"/>
      <c r="J221" s="151"/>
      <c r="K221" s="151"/>
      <c r="L221" s="152"/>
      <c r="M221" s="152"/>
      <c r="N221" s="152"/>
      <c r="O221" s="34"/>
      <c r="P221" s="34"/>
      <c r="Q221" s="34"/>
      <c r="R221" s="153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5"/>
    </row>
    <row r="222" spans="1:28">
      <c r="A222" s="158"/>
      <c r="B222" s="156"/>
      <c r="C222" s="156"/>
      <c r="D222" s="156"/>
      <c r="E222" s="157"/>
      <c r="F222" s="152"/>
      <c r="G222" s="152"/>
      <c r="H222" s="151"/>
      <c r="I222" s="151"/>
      <c r="J222" s="151"/>
      <c r="K222" s="151"/>
      <c r="L222" s="152"/>
      <c r="M222" s="152"/>
      <c r="N222" s="152"/>
      <c r="O222" s="34"/>
      <c r="P222" s="34"/>
      <c r="Q222" s="34"/>
      <c r="R222" s="153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5"/>
    </row>
    <row r="223" spans="1:28">
      <c r="A223" s="158"/>
      <c r="B223" s="156"/>
      <c r="C223" s="156"/>
      <c r="D223" s="156"/>
      <c r="E223" s="157"/>
      <c r="F223" s="152"/>
      <c r="G223" s="152"/>
      <c r="H223" s="151"/>
      <c r="I223" s="151"/>
      <c r="J223" s="151"/>
      <c r="K223" s="151"/>
      <c r="L223" s="152"/>
      <c r="M223" s="152"/>
      <c r="N223" s="152"/>
      <c r="O223" s="34"/>
      <c r="P223" s="34"/>
      <c r="Q223" s="34"/>
      <c r="R223" s="153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5"/>
    </row>
    <row r="224" spans="1:28">
      <c r="A224" s="158"/>
      <c r="B224" s="156"/>
      <c r="C224" s="156"/>
      <c r="D224" s="156"/>
      <c r="E224" s="157"/>
      <c r="F224" s="152"/>
      <c r="G224" s="152"/>
      <c r="H224" s="151"/>
      <c r="I224" s="151"/>
      <c r="J224" s="151"/>
      <c r="K224" s="151"/>
      <c r="L224" s="152"/>
      <c r="M224" s="152"/>
      <c r="N224" s="152"/>
      <c r="O224" s="34"/>
      <c r="P224" s="34"/>
      <c r="Q224" s="34"/>
      <c r="R224" s="153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5"/>
    </row>
    <row r="225" spans="1:28">
      <c r="A225" s="158"/>
      <c r="B225" s="156"/>
      <c r="C225" s="156"/>
      <c r="D225" s="156"/>
      <c r="E225" s="157"/>
      <c r="F225" s="152"/>
      <c r="G225" s="152"/>
      <c r="H225" s="151"/>
      <c r="I225" s="151"/>
      <c r="J225" s="151"/>
      <c r="K225" s="151"/>
      <c r="L225" s="152"/>
      <c r="M225" s="152"/>
      <c r="N225" s="152"/>
      <c r="O225" s="34"/>
      <c r="P225" s="34"/>
      <c r="Q225" s="34"/>
      <c r="R225" s="153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5"/>
    </row>
    <row r="226" spans="1:28">
      <c r="A226" s="158"/>
      <c r="B226" s="156"/>
      <c r="C226" s="156"/>
      <c r="D226" s="156"/>
      <c r="E226" s="157"/>
      <c r="F226" s="152"/>
      <c r="G226" s="152"/>
      <c r="H226" s="151"/>
      <c r="I226" s="151"/>
      <c r="J226" s="151"/>
      <c r="K226" s="151"/>
      <c r="L226" s="152"/>
      <c r="M226" s="152"/>
      <c r="N226" s="152"/>
      <c r="O226" s="34"/>
      <c r="P226" s="34"/>
      <c r="Q226" s="34"/>
      <c r="R226" s="153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5"/>
    </row>
    <row r="227" spans="1:28">
      <c r="A227" s="158"/>
      <c r="B227" s="156"/>
      <c r="C227" s="156"/>
      <c r="D227" s="156"/>
      <c r="E227" s="157"/>
      <c r="F227" s="152"/>
      <c r="G227" s="152"/>
      <c r="H227" s="151"/>
      <c r="I227" s="151"/>
      <c r="J227" s="151"/>
      <c r="K227" s="151"/>
      <c r="L227" s="152"/>
      <c r="M227" s="152"/>
      <c r="N227" s="152"/>
      <c r="O227" s="34"/>
      <c r="P227" s="34"/>
      <c r="Q227" s="34"/>
      <c r="R227" s="153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5"/>
    </row>
    <row r="228" spans="1:28">
      <c r="A228" s="158"/>
      <c r="B228" s="156"/>
      <c r="C228" s="156"/>
      <c r="D228" s="156"/>
      <c r="E228" s="157"/>
      <c r="F228" s="152"/>
      <c r="G228" s="152"/>
      <c r="H228" s="151"/>
      <c r="I228" s="151"/>
      <c r="J228" s="151"/>
      <c r="K228" s="151"/>
      <c r="L228" s="152"/>
      <c r="M228" s="152"/>
      <c r="N228" s="152"/>
      <c r="O228" s="34"/>
      <c r="P228" s="34"/>
      <c r="Q228" s="34"/>
      <c r="R228" s="153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5"/>
    </row>
    <row r="229" spans="1:28">
      <c r="A229" s="158"/>
      <c r="B229" s="156"/>
      <c r="C229" s="156"/>
      <c r="D229" s="156"/>
      <c r="E229" s="157"/>
      <c r="F229" s="152"/>
      <c r="G229" s="152"/>
      <c r="H229" s="151"/>
      <c r="I229" s="151"/>
      <c r="J229" s="151"/>
      <c r="K229" s="151"/>
      <c r="L229" s="152"/>
      <c r="M229" s="152"/>
      <c r="N229" s="152"/>
      <c r="O229" s="34"/>
      <c r="P229" s="34"/>
      <c r="Q229" s="34"/>
      <c r="R229" s="153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5"/>
    </row>
    <row r="230" spans="1:28">
      <c r="A230" s="158"/>
      <c r="B230" s="156"/>
      <c r="C230" s="156"/>
      <c r="D230" s="156"/>
      <c r="E230" s="157"/>
      <c r="F230" s="152"/>
      <c r="G230" s="152"/>
      <c r="H230" s="151"/>
      <c r="I230" s="151"/>
      <c r="J230" s="151"/>
      <c r="K230" s="151"/>
      <c r="L230" s="152"/>
      <c r="M230" s="152"/>
      <c r="N230" s="152"/>
      <c r="O230" s="34"/>
      <c r="P230" s="34"/>
      <c r="Q230" s="34"/>
      <c r="R230" s="153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5"/>
    </row>
    <row r="231" spans="1:28">
      <c r="A231" s="158"/>
      <c r="B231" s="156"/>
      <c r="C231" s="156"/>
      <c r="D231" s="156"/>
      <c r="E231" s="157"/>
      <c r="F231" s="152"/>
      <c r="G231" s="152"/>
      <c r="H231" s="151"/>
      <c r="I231" s="151"/>
      <c r="J231" s="151"/>
      <c r="K231" s="151"/>
      <c r="L231" s="152"/>
      <c r="M231" s="152"/>
      <c r="N231" s="152"/>
      <c r="O231" s="34"/>
      <c r="P231" s="34"/>
      <c r="Q231" s="34"/>
      <c r="R231" s="153"/>
      <c r="S231" s="154"/>
      <c r="T231" s="154"/>
      <c r="U231" s="154"/>
      <c r="V231" s="154"/>
      <c r="W231" s="154"/>
      <c r="X231" s="154"/>
      <c r="Y231" s="154"/>
      <c r="Z231" s="154"/>
      <c r="AA231" s="154"/>
      <c r="AB231" s="155"/>
    </row>
    <row r="232" spans="1:28">
      <c r="A232" s="158"/>
      <c r="B232" s="156"/>
      <c r="C232" s="156"/>
      <c r="D232" s="156"/>
      <c r="E232" s="157"/>
      <c r="F232" s="152"/>
      <c r="G232" s="152"/>
      <c r="H232" s="151"/>
      <c r="I232" s="151"/>
      <c r="J232" s="151"/>
      <c r="K232" s="151"/>
      <c r="L232" s="152"/>
      <c r="M232" s="152"/>
      <c r="N232" s="152"/>
      <c r="O232" s="34"/>
      <c r="P232" s="34"/>
      <c r="Q232" s="34"/>
      <c r="R232" s="153"/>
      <c r="S232" s="154"/>
      <c r="T232" s="154"/>
      <c r="U232" s="154"/>
      <c r="V232" s="154"/>
      <c r="W232" s="154"/>
      <c r="X232" s="154"/>
      <c r="Y232" s="154"/>
      <c r="Z232" s="154"/>
      <c r="AA232" s="154"/>
      <c r="AB232" s="155"/>
    </row>
    <row r="233" spans="1:28">
      <c r="A233" s="158"/>
      <c r="B233" s="156"/>
      <c r="C233" s="156"/>
      <c r="D233" s="156"/>
      <c r="E233" s="157"/>
      <c r="F233" s="152"/>
      <c r="G233" s="152"/>
      <c r="H233" s="151"/>
      <c r="I233" s="151"/>
      <c r="J233" s="151"/>
      <c r="K233" s="151"/>
      <c r="L233" s="152"/>
      <c r="M233" s="152"/>
      <c r="N233" s="152"/>
      <c r="O233" s="34"/>
      <c r="P233" s="34"/>
      <c r="Q233" s="34"/>
      <c r="R233" s="153"/>
      <c r="S233" s="154"/>
      <c r="T233" s="154"/>
      <c r="U233" s="154"/>
      <c r="V233" s="154"/>
      <c r="W233" s="154"/>
      <c r="X233" s="154"/>
      <c r="Y233" s="154"/>
      <c r="Z233" s="154"/>
      <c r="AA233" s="154"/>
      <c r="AB233" s="155"/>
    </row>
    <row r="234" spans="1:28">
      <c r="A234" s="158"/>
      <c r="B234" s="156"/>
      <c r="C234" s="156"/>
      <c r="D234" s="156"/>
      <c r="E234" s="157"/>
      <c r="F234" s="152"/>
      <c r="G234" s="152"/>
      <c r="H234" s="151"/>
      <c r="I234" s="151"/>
      <c r="J234" s="151"/>
      <c r="K234" s="151"/>
      <c r="L234" s="152"/>
      <c r="M234" s="152"/>
      <c r="N234" s="152"/>
      <c r="O234" s="34"/>
      <c r="P234" s="34"/>
      <c r="Q234" s="34"/>
      <c r="R234" s="153"/>
      <c r="S234" s="154"/>
      <c r="T234" s="154"/>
      <c r="U234" s="154"/>
      <c r="V234" s="154"/>
      <c r="W234" s="154"/>
      <c r="X234" s="154"/>
      <c r="Y234" s="154"/>
      <c r="Z234" s="154"/>
      <c r="AA234" s="154"/>
      <c r="AB234" s="155"/>
    </row>
    <row r="235" spans="1:28">
      <c r="A235" s="158"/>
      <c r="B235" s="156"/>
      <c r="C235" s="156"/>
      <c r="D235" s="156"/>
      <c r="E235" s="157"/>
      <c r="F235" s="152"/>
      <c r="G235" s="152"/>
      <c r="H235" s="151"/>
      <c r="I235" s="151"/>
      <c r="J235" s="151"/>
      <c r="K235" s="151"/>
      <c r="L235" s="152"/>
      <c r="M235" s="152"/>
      <c r="N235" s="152"/>
      <c r="O235" s="34"/>
      <c r="P235" s="34"/>
      <c r="Q235" s="34"/>
      <c r="R235" s="153"/>
      <c r="S235" s="154"/>
      <c r="T235" s="154"/>
      <c r="U235" s="154"/>
      <c r="V235" s="154"/>
      <c r="W235" s="154"/>
      <c r="X235" s="154"/>
      <c r="Y235" s="154"/>
      <c r="Z235" s="154"/>
      <c r="AA235" s="154"/>
      <c r="AB235" s="155"/>
    </row>
    <row r="236" spans="1:28">
      <c r="A236" s="158"/>
      <c r="B236" s="156"/>
      <c r="C236" s="156"/>
      <c r="D236" s="156"/>
      <c r="E236" s="157"/>
      <c r="F236" s="152"/>
      <c r="G236" s="152"/>
      <c r="H236" s="151"/>
      <c r="I236" s="151"/>
      <c r="J236" s="151"/>
      <c r="K236" s="151"/>
      <c r="L236" s="152"/>
      <c r="M236" s="152"/>
      <c r="N236" s="152"/>
      <c r="O236" s="34"/>
      <c r="P236" s="34"/>
      <c r="Q236" s="34"/>
      <c r="R236" s="153"/>
      <c r="S236" s="154"/>
      <c r="T236" s="154"/>
      <c r="U236" s="154"/>
      <c r="V236" s="154"/>
      <c r="W236" s="154"/>
      <c r="X236" s="154"/>
      <c r="Y236" s="154"/>
      <c r="Z236" s="154"/>
      <c r="AA236" s="154"/>
      <c r="AB236" s="155"/>
    </row>
    <row r="237" spans="1:28">
      <c r="A237" s="158"/>
      <c r="B237" s="156"/>
      <c r="C237" s="156"/>
      <c r="D237" s="156"/>
      <c r="E237" s="157"/>
      <c r="F237" s="152"/>
      <c r="G237" s="152"/>
      <c r="H237" s="151"/>
      <c r="I237" s="151"/>
      <c r="J237" s="151"/>
      <c r="K237" s="151"/>
      <c r="L237" s="152"/>
      <c r="M237" s="152"/>
      <c r="N237" s="152"/>
      <c r="O237" s="34"/>
      <c r="P237" s="34"/>
      <c r="Q237" s="34"/>
      <c r="R237" s="153"/>
      <c r="S237" s="154"/>
      <c r="T237" s="154"/>
      <c r="U237" s="154"/>
      <c r="V237" s="154"/>
      <c r="W237" s="154"/>
      <c r="X237" s="154"/>
      <c r="Y237" s="154"/>
      <c r="Z237" s="154"/>
      <c r="AA237" s="154"/>
      <c r="AB237" s="155"/>
    </row>
    <row r="238" spans="1:28">
      <c r="A238" s="158"/>
      <c r="B238" s="156"/>
      <c r="C238" s="156"/>
      <c r="D238" s="156"/>
      <c r="E238" s="157"/>
      <c r="F238" s="152"/>
      <c r="G238" s="152"/>
      <c r="H238" s="151"/>
      <c r="I238" s="151"/>
      <c r="J238" s="151"/>
      <c r="K238" s="151"/>
      <c r="L238" s="152"/>
      <c r="M238" s="152"/>
      <c r="N238" s="152"/>
      <c r="O238" s="34"/>
      <c r="P238" s="34"/>
      <c r="Q238" s="34"/>
      <c r="R238" s="153"/>
      <c r="S238" s="154"/>
      <c r="T238" s="154"/>
      <c r="U238" s="154"/>
      <c r="V238" s="154"/>
      <c r="W238" s="154"/>
      <c r="X238" s="154"/>
      <c r="Y238" s="154"/>
      <c r="Z238" s="154"/>
      <c r="AA238" s="154"/>
      <c r="AB238" s="155"/>
    </row>
    <row r="239" spans="1:28">
      <c r="A239" s="158"/>
      <c r="B239" s="156"/>
      <c r="C239" s="156"/>
      <c r="D239" s="156"/>
      <c r="E239" s="157"/>
      <c r="F239" s="152"/>
      <c r="G239" s="152"/>
      <c r="H239" s="151"/>
      <c r="I239" s="151"/>
      <c r="J239" s="151"/>
      <c r="K239" s="151"/>
      <c r="L239" s="152"/>
      <c r="M239" s="152"/>
      <c r="N239" s="152"/>
      <c r="O239" s="34"/>
      <c r="P239" s="34"/>
      <c r="Q239" s="34"/>
      <c r="R239" s="153"/>
      <c r="S239" s="154"/>
      <c r="T239" s="154"/>
      <c r="U239" s="154"/>
      <c r="V239" s="154"/>
      <c r="W239" s="154"/>
      <c r="X239" s="154"/>
      <c r="Y239" s="154"/>
      <c r="Z239" s="154"/>
      <c r="AA239" s="154"/>
      <c r="AB239" s="155"/>
    </row>
    <row r="240" spans="1:28">
      <c r="A240" s="158"/>
      <c r="B240" s="156"/>
      <c r="C240" s="156"/>
      <c r="D240" s="156"/>
      <c r="E240" s="157"/>
      <c r="F240" s="152"/>
      <c r="G240" s="152"/>
      <c r="H240" s="151"/>
      <c r="I240" s="151"/>
      <c r="J240" s="151"/>
      <c r="K240" s="151"/>
      <c r="L240" s="152"/>
      <c r="M240" s="152"/>
      <c r="N240" s="152"/>
      <c r="O240" s="34"/>
      <c r="P240" s="34"/>
      <c r="Q240" s="34"/>
      <c r="R240" s="153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5"/>
    </row>
    <row r="241" spans="1:28">
      <c r="A241" s="158"/>
      <c r="B241" s="156"/>
      <c r="C241" s="156"/>
      <c r="D241" s="156"/>
      <c r="E241" s="157"/>
      <c r="F241" s="152"/>
      <c r="G241" s="152"/>
      <c r="H241" s="151"/>
      <c r="I241" s="151"/>
      <c r="J241" s="151"/>
      <c r="K241" s="151"/>
      <c r="L241" s="152"/>
      <c r="M241" s="152"/>
      <c r="N241" s="152"/>
      <c r="O241" s="34"/>
      <c r="P241" s="34"/>
      <c r="Q241" s="34"/>
      <c r="R241" s="153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5"/>
    </row>
    <row r="242" spans="1:28">
      <c r="A242" s="158"/>
      <c r="B242" s="156"/>
      <c r="C242" s="156"/>
      <c r="D242" s="156"/>
      <c r="E242" s="157"/>
      <c r="F242" s="152"/>
      <c r="G242" s="152"/>
      <c r="H242" s="151"/>
      <c r="I242" s="151"/>
      <c r="J242" s="151"/>
      <c r="K242" s="151"/>
      <c r="L242" s="152"/>
      <c r="M242" s="152"/>
      <c r="N242" s="152"/>
      <c r="O242" s="34"/>
      <c r="P242" s="34"/>
      <c r="Q242" s="34"/>
      <c r="R242" s="153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5"/>
    </row>
    <row r="243" spans="1:28">
      <c r="A243" s="158"/>
      <c r="B243" s="156"/>
      <c r="C243" s="156"/>
      <c r="D243" s="156"/>
      <c r="E243" s="157"/>
      <c r="F243" s="152"/>
      <c r="G243" s="152"/>
      <c r="H243" s="151"/>
      <c r="I243" s="151"/>
      <c r="J243" s="151"/>
      <c r="K243" s="151"/>
      <c r="L243" s="152"/>
      <c r="M243" s="152"/>
      <c r="N243" s="152"/>
      <c r="O243" s="34"/>
      <c r="P243" s="34"/>
      <c r="Q243" s="34"/>
      <c r="R243" s="153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5"/>
    </row>
    <row r="244" spans="1:28">
      <c r="A244" s="158"/>
      <c r="B244" s="156"/>
      <c r="C244" s="156"/>
      <c r="D244" s="156"/>
      <c r="E244" s="157"/>
      <c r="F244" s="152"/>
      <c r="G244" s="152"/>
      <c r="H244" s="151"/>
      <c r="I244" s="151"/>
      <c r="J244" s="151"/>
      <c r="K244" s="151"/>
      <c r="L244" s="152"/>
      <c r="M244" s="152"/>
      <c r="N244" s="152"/>
      <c r="O244" s="34"/>
      <c r="P244" s="34"/>
      <c r="Q244" s="34"/>
      <c r="R244" s="153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5"/>
    </row>
    <row r="245" spans="1:28">
      <c r="A245" s="158"/>
      <c r="B245" s="156"/>
      <c r="C245" s="156"/>
      <c r="D245" s="156"/>
      <c r="E245" s="157"/>
      <c r="F245" s="152"/>
      <c r="G245" s="152"/>
      <c r="H245" s="151"/>
      <c r="I245" s="151"/>
      <c r="J245" s="151"/>
      <c r="K245" s="151"/>
      <c r="L245" s="152"/>
      <c r="M245" s="152"/>
      <c r="N245" s="152"/>
      <c r="O245" s="34"/>
      <c r="P245" s="34"/>
      <c r="Q245" s="34"/>
      <c r="R245" s="153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5"/>
    </row>
    <row r="246" spans="1:28">
      <c r="A246" s="158"/>
      <c r="B246" s="156"/>
      <c r="C246" s="156"/>
      <c r="D246" s="156"/>
      <c r="E246" s="157"/>
      <c r="F246" s="152"/>
      <c r="G246" s="152"/>
      <c r="H246" s="151"/>
      <c r="I246" s="151"/>
      <c r="J246" s="151"/>
      <c r="K246" s="151"/>
      <c r="L246" s="152"/>
      <c r="M246" s="152"/>
      <c r="N246" s="152"/>
      <c r="O246" s="34"/>
      <c r="P246" s="34"/>
      <c r="Q246" s="34"/>
      <c r="R246" s="153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5"/>
    </row>
    <row r="247" spans="1:28">
      <c r="A247" s="158"/>
      <c r="B247" s="156"/>
      <c r="C247" s="156"/>
      <c r="D247" s="156"/>
      <c r="E247" s="157"/>
      <c r="F247" s="152"/>
      <c r="G247" s="152"/>
      <c r="H247" s="151"/>
      <c r="I247" s="151"/>
      <c r="J247" s="151"/>
      <c r="K247" s="151"/>
      <c r="L247" s="152"/>
      <c r="M247" s="152"/>
      <c r="N247" s="152"/>
      <c r="O247" s="34"/>
      <c r="P247" s="34"/>
      <c r="Q247" s="34"/>
      <c r="R247" s="153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5"/>
    </row>
    <row r="248" spans="1:28">
      <c r="A248" s="158"/>
      <c r="B248" s="156"/>
      <c r="C248" s="156"/>
      <c r="D248" s="156"/>
      <c r="E248" s="157"/>
      <c r="F248" s="152"/>
      <c r="G248" s="152"/>
      <c r="H248" s="151"/>
      <c r="I248" s="151"/>
      <c r="J248" s="151"/>
      <c r="K248" s="151"/>
      <c r="L248" s="152"/>
      <c r="M248" s="152"/>
      <c r="N248" s="152"/>
      <c r="O248" s="34"/>
      <c r="P248" s="34"/>
      <c r="Q248" s="34"/>
      <c r="R248" s="153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5"/>
    </row>
    <row r="249" spans="1:28">
      <c r="A249" s="158"/>
      <c r="B249" s="156"/>
      <c r="C249" s="156"/>
      <c r="D249" s="156"/>
      <c r="E249" s="157"/>
      <c r="F249" s="152"/>
      <c r="G249" s="152"/>
      <c r="H249" s="151"/>
      <c r="I249" s="151"/>
      <c r="J249" s="151"/>
      <c r="K249" s="151"/>
      <c r="L249" s="152"/>
      <c r="M249" s="152"/>
      <c r="N249" s="152"/>
      <c r="O249" s="34"/>
      <c r="P249" s="34"/>
      <c r="Q249" s="34"/>
      <c r="R249" s="153"/>
      <c r="S249" s="154"/>
      <c r="T249" s="154"/>
      <c r="U249" s="154"/>
      <c r="V249" s="154"/>
      <c r="W249" s="154"/>
      <c r="X249" s="154"/>
      <c r="Y249" s="154"/>
      <c r="Z249" s="154"/>
      <c r="AA249" s="154"/>
      <c r="AB249" s="155"/>
    </row>
    <row r="250" spans="1:28">
      <c r="A250" s="158"/>
      <c r="B250" s="156"/>
      <c r="C250" s="156"/>
      <c r="D250" s="156"/>
      <c r="E250" s="157"/>
      <c r="F250" s="152"/>
      <c r="G250" s="152"/>
      <c r="H250" s="151"/>
      <c r="I250" s="151"/>
      <c r="J250" s="151"/>
      <c r="K250" s="151"/>
      <c r="L250" s="152"/>
      <c r="M250" s="152"/>
      <c r="N250" s="152"/>
      <c r="O250" s="34"/>
      <c r="P250" s="34"/>
      <c r="Q250" s="34"/>
      <c r="R250" s="153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5"/>
    </row>
    <row r="251" spans="1:28">
      <c r="A251" s="158"/>
      <c r="B251" s="156"/>
      <c r="C251" s="156"/>
      <c r="D251" s="156"/>
      <c r="E251" s="157"/>
      <c r="F251" s="152"/>
      <c r="G251" s="152"/>
      <c r="H251" s="151"/>
      <c r="I251" s="151"/>
      <c r="J251" s="151"/>
      <c r="K251" s="151"/>
      <c r="L251" s="152"/>
      <c r="M251" s="152"/>
      <c r="N251" s="152"/>
      <c r="O251" s="34"/>
      <c r="P251" s="34"/>
      <c r="Q251" s="34"/>
      <c r="R251" s="153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5"/>
    </row>
    <row r="252" spans="1:28">
      <c r="A252" s="158"/>
      <c r="B252" s="156"/>
      <c r="C252" s="156"/>
      <c r="D252" s="156"/>
      <c r="E252" s="157"/>
      <c r="F252" s="152"/>
      <c r="G252" s="152"/>
      <c r="H252" s="151"/>
      <c r="I252" s="151"/>
      <c r="J252" s="151"/>
      <c r="K252" s="151"/>
      <c r="L252" s="152"/>
      <c r="M252" s="152"/>
      <c r="N252" s="152"/>
      <c r="O252" s="34"/>
      <c r="P252" s="34"/>
      <c r="Q252" s="34"/>
      <c r="R252" s="153"/>
      <c r="S252" s="154"/>
      <c r="T252" s="154"/>
      <c r="U252" s="154"/>
      <c r="V252" s="154"/>
      <c r="W252" s="154"/>
      <c r="X252" s="154"/>
      <c r="Y252" s="154"/>
      <c r="Z252" s="154"/>
      <c r="AA252" s="154"/>
      <c r="AB252" s="155"/>
    </row>
    <row r="253" spans="1:28">
      <c r="A253" s="158"/>
      <c r="B253" s="156"/>
      <c r="C253" s="156"/>
      <c r="D253" s="156"/>
      <c r="E253" s="157"/>
      <c r="F253" s="152"/>
      <c r="G253" s="152"/>
      <c r="H253" s="151"/>
      <c r="I253" s="151"/>
      <c r="J253" s="151"/>
      <c r="K253" s="151"/>
      <c r="L253" s="152"/>
      <c r="M253" s="152"/>
      <c r="N253" s="152"/>
      <c r="O253" s="34"/>
      <c r="P253" s="34"/>
      <c r="Q253" s="34"/>
      <c r="R253" s="153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5"/>
    </row>
    <row r="254" spans="1:28">
      <c r="B254" s="156"/>
      <c r="H254" s="163"/>
      <c r="J254" s="163"/>
      <c r="K254" s="163"/>
    </row>
    <row r="255" spans="1:28">
      <c r="B255" s="156"/>
      <c r="H255" s="163"/>
      <c r="J255" s="163"/>
      <c r="K255" s="163"/>
    </row>
    <row r="256" spans="1:28">
      <c r="H256" s="163"/>
      <c r="J256" s="163"/>
      <c r="K256" s="163"/>
    </row>
    <row r="257" spans="8:11">
      <c r="H257" s="163"/>
      <c r="J257" s="163"/>
      <c r="K257" s="163"/>
    </row>
    <row r="258" spans="8:11">
      <c r="H258" s="163"/>
      <c r="J258" s="163"/>
      <c r="K258" s="163"/>
    </row>
    <row r="259" spans="8:11">
      <c r="H259" s="163"/>
      <c r="J259" s="163"/>
      <c r="K259" s="163"/>
    </row>
    <row r="260" spans="8:11">
      <c r="H260" s="163"/>
      <c r="J260" s="163"/>
      <c r="K260" s="163"/>
    </row>
    <row r="261" spans="8:11">
      <c r="H261" s="163"/>
      <c r="J261" s="163"/>
      <c r="K261" s="163"/>
    </row>
    <row r="262" spans="8:11">
      <c r="H262" s="163"/>
      <c r="J262" s="163"/>
      <c r="K262" s="163"/>
    </row>
    <row r="263" spans="8:11">
      <c r="H263" s="163"/>
      <c r="J263" s="163"/>
      <c r="K263" s="163"/>
    </row>
    <row r="264" spans="8:11">
      <c r="H264" s="163"/>
      <c r="J264" s="163"/>
      <c r="K264" s="163"/>
    </row>
    <row r="265" spans="8:11">
      <c r="H265" s="163"/>
      <c r="J265" s="163"/>
      <c r="K265" s="163"/>
    </row>
    <row r="266" spans="8:11">
      <c r="H266" s="163"/>
      <c r="J266" s="163"/>
      <c r="K266" s="163"/>
    </row>
  </sheetData>
  <mergeCells count="31">
    <mergeCell ref="J4:K4"/>
    <mergeCell ref="L4:L5"/>
    <mergeCell ref="M4:N4"/>
    <mergeCell ref="O4:O5"/>
    <mergeCell ref="P4:Q4"/>
    <mergeCell ref="S4:S5"/>
    <mergeCell ref="R3:R5"/>
    <mergeCell ref="S3:U3"/>
    <mergeCell ref="V3:X3"/>
    <mergeCell ref="Y3:AA3"/>
    <mergeCell ref="T4:U4"/>
    <mergeCell ref="V4:V5"/>
    <mergeCell ref="W4:X4"/>
    <mergeCell ref="Y4:Y5"/>
    <mergeCell ref="Z4:AA4"/>
    <mergeCell ref="C1:X1"/>
    <mergeCell ref="A2:A5"/>
    <mergeCell ref="B2:B5"/>
    <mergeCell ref="C2:K2"/>
    <mergeCell ref="L2:AB2"/>
    <mergeCell ref="C3:E3"/>
    <mergeCell ref="F3:H3"/>
    <mergeCell ref="I3:K3"/>
    <mergeCell ref="L3:N3"/>
    <mergeCell ref="O3:Q3"/>
    <mergeCell ref="AB3:AB5"/>
    <mergeCell ref="C4:C5"/>
    <mergeCell ref="D4:E4"/>
    <mergeCell ref="F4:F5"/>
    <mergeCell ref="G4:H4"/>
    <mergeCell ref="I4:I5"/>
  </mergeCells>
  <pageMargins left="0.7" right="0.7" top="0.75" bottom="0.75" header="0.3" footer="0.3"/>
  <pageSetup paperSize="9" scale="4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2016-11-15T14:16:05Z</dcterms:modified>
</cp:coreProperties>
</file>