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6" activeTab="0"/>
  </bookViews>
  <sheets>
    <sheet name="платные услуги" sheetId="1" r:id="rId1"/>
    <sheet name="сан.тех.раб." sheetId="2" r:id="rId2"/>
    <sheet name="Эл.монт. работ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'платные услуги'!$A$282:$Y$417</definedName>
    <definedName name="_xlnm._FilterDatabase" localSheetId="1" hidden="1">'сан.тех.раб.'!$A$11:$IR$73</definedName>
    <definedName name="_xlnm.Print_Titles" localSheetId="0">'платные услуги'!$18:$18</definedName>
    <definedName name="_xlnm.Print_Area" localSheetId="0">'платные услуги'!$A$1:$N$686</definedName>
  </definedNames>
  <calcPr fullCalcOnLoad="1" fullPrecision="0"/>
</workbook>
</file>

<file path=xl/comments2.xml><?xml version="1.0" encoding="utf-8"?>
<comments xmlns="http://schemas.openxmlformats.org/spreadsheetml/2006/main">
  <authors>
    <author>PreInstall-User</author>
  </authors>
  <commentList>
    <comment ref="B47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запорная арматура</t>
        </r>
      </text>
    </comment>
    <comment ref="E68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принято по среднему d-20мм</t>
        </r>
      </text>
    </comment>
    <comment ref="D69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d-50</t>
        </r>
      </text>
    </comment>
    <comment ref="E66" authorId="0">
      <text>
        <r>
          <rPr>
            <b/>
            <sz val="8"/>
            <rFont val="Tahoma"/>
            <family val="0"/>
          </rPr>
          <t>PreInstall-User:</t>
        </r>
        <r>
          <rPr>
            <sz val="8"/>
            <rFont val="Tahoma"/>
            <family val="0"/>
          </rPr>
          <t xml:space="preserve">
среднее значение</t>
        </r>
      </text>
    </comment>
  </commentList>
</comments>
</file>

<file path=xl/sharedStrings.xml><?xml version="1.0" encoding="utf-8"?>
<sst xmlns="http://schemas.openxmlformats.org/spreadsheetml/2006/main" count="2777" uniqueCount="1106">
  <si>
    <t>Сантехнические работы</t>
  </si>
  <si>
    <t>прочистка сифонов и участков трубопровода от сантехприбора до стояка</t>
  </si>
  <si>
    <t>смена смывной трубы</t>
  </si>
  <si>
    <t>Электромонтажные работы</t>
  </si>
  <si>
    <t>смена выключателя для скрытой проводки с пробивкой гнёзд</t>
  </si>
  <si>
    <t>смена неисправного потолочного или стенного патрона</t>
  </si>
  <si>
    <t>установка щитка для электросчётчика</t>
  </si>
  <si>
    <t>установка однофазного электросчётчика</t>
  </si>
  <si>
    <t>прокладка электропроводки</t>
  </si>
  <si>
    <t>снятие неисправных выключателей или переключателей</t>
  </si>
  <si>
    <t>Столярные и стекольные работы</t>
  </si>
  <si>
    <t>укрепление дверных и оконных коробок</t>
  </si>
  <si>
    <t>ремонт покрытий полов (дощатых, паркетных, из линолеума, плитки ПВХ)</t>
  </si>
  <si>
    <t>Отделочные работы</t>
  </si>
  <si>
    <t>окраска лоджий, этажерок балконов</t>
  </si>
  <si>
    <t>оклейка стен обоями</t>
  </si>
  <si>
    <t>то же штепсельной розетки</t>
  </si>
  <si>
    <t>№ пп</t>
  </si>
  <si>
    <t>Наименование работ</t>
  </si>
  <si>
    <t>Ед.изм.</t>
  </si>
  <si>
    <t>смена смесителя для умывальника*</t>
  </si>
  <si>
    <t>Коэфф.</t>
  </si>
  <si>
    <t>Базовая норма времени, чел.ч.</t>
  </si>
  <si>
    <t>1 прибор</t>
  </si>
  <si>
    <t>Норма времени с уч.кор. коэфф, чел.ч.</t>
  </si>
  <si>
    <t>норма времени</t>
  </si>
  <si>
    <t xml:space="preserve">   - чугунные</t>
  </si>
  <si>
    <t xml:space="preserve">   - пластмассовые или латунные</t>
  </si>
  <si>
    <t>ЦНИС 2.2.1.2.11</t>
  </si>
  <si>
    <t>ЦНИС 2.2.1.2.12</t>
  </si>
  <si>
    <t>материалы</t>
  </si>
  <si>
    <t>болты с гайками и шайбами</t>
  </si>
  <si>
    <t>прокладки резиновые</t>
  </si>
  <si>
    <t>кг</t>
  </si>
  <si>
    <t>наименование</t>
  </si>
  <si>
    <t>цена за ед., руб.</t>
  </si>
  <si>
    <t>Ед. изм.</t>
  </si>
  <si>
    <t xml:space="preserve">источник нормы </t>
  </si>
  <si>
    <t>набивка сальниковая</t>
  </si>
  <si>
    <t>прокладка паронит-я 3 мм</t>
  </si>
  <si>
    <t>лента ФУМ</t>
  </si>
  <si>
    <t>шт</t>
  </si>
  <si>
    <t>смена вентильной головки</t>
  </si>
  <si>
    <t xml:space="preserve">   - для смесителя с душем</t>
  </si>
  <si>
    <t xml:space="preserve">   - для смесителя без душа</t>
  </si>
  <si>
    <t>1 головка</t>
  </si>
  <si>
    <t>ЦНИС 2.2.1.2.3 прим</t>
  </si>
  <si>
    <t>ЦНИС 2.2.1.2.4 прим</t>
  </si>
  <si>
    <t>вентильная головка</t>
  </si>
  <si>
    <t>ЦНИС 2.2.1.2.2.5</t>
  </si>
  <si>
    <t>прим.</t>
  </si>
  <si>
    <t>ЦНИС 2.2.1.2.2.2/2</t>
  </si>
  <si>
    <t>1 пролёт</t>
  </si>
  <si>
    <t>ЦНИС 2.2.2.2.2.8</t>
  </si>
  <si>
    <t>то же для ванн с гибким шлангом*</t>
  </si>
  <si>
    <t>смеситель</t>
  </si>
  <si>
    <t>краска маслянная</t>
  </si>
  <si>
    <t>очёс льняной</t>
  </si>
  <si>
    <t>олифа</t>
  </si>
  <si>
    <t>замена умывальников*</t>
  </si>
  <si>
    <t>умывальник</t>
  </si>
  <si>
    <t>цемент расширяющийся</t>
  </si>
  <si>
    <t>каболка</t>
  </si>
  <si>
    <t>шурупы</t>
  </si>
  <si>
    <t>замена моек на одно отделение*</t>
  </si>
  <si>
    <t>мойка</t>
  </si>
  <si>
    <t>дюбели</t>
  </si>
  <si>
    <t>замена моек на два отделения*</t>
  </si>
  <si>
    <t>замена раковин*</t>
  </si>
  <si>
    <t>замена полотенцесушителей*</t>
  </si>
  <si>
    <t>полотенцесушитель</t>
  </si>
  <si>
    <t>Кол-во</t>
  </si>
  <si>
    <t xml:space="preserve">ремонт смывного бачка </t>
  </si>
  <si>
    <t xml:space="preserve">   - высокорасположенного (без снятия с места)</t>
  </si>
  <si>
    <t>резиновые прокладки</t>
  </si>
  <si>
    <t>ЦНИС 3.2.2.23</t>
  </si>
  <si>
    <t xml:space="preserve">   - высокорасположенного (со снятием с места)</t>
  </si>
  <si>
    <t>резиновая груша</t>
  </si>
  <si>
    <t>прокладка поплавкового кл</t>
  </si>
  <si>
    <t>ЦНИС 3.4.2.23</t>
  </si>
  <si>
    <t>унитаз</t>
  </si>
  <si>
    <t>смена унитаза типа "Компакт"*</t>
  </si>
  <si>
    <t>проволока</t>
  </si>
  <si>
    <t>смывная труба</t>
  </si>
  <si>
    <t>манжет резиновый</t>
  </si>
  <si>
    <t>смена сиденья к унитазу</t>
  </si>
  <si>
    <t>смена кронштейнов</t>
  </si>
  <si>
    <t xml:space="preserve">   - смывного бачка</t>
  </si>
  <si>
    <t>ЦНИС 3.2.2.22</t>
  </si>
  <si>
    <t xml:space="preserve">   - умывальника</t>
  </si>
  <si>
    <t>кронштейны</t>
  </si>
  <si>
    <t>1 кронштейн</t>
  </si>
  <si>
    <t>ГЭСН 11-01-004-03</t>
  </si>
  <si>
    <t>1 м2</t>
  </si>
  <si>
    <t>рубероид</t>
  </si>
  <si>
    <t>битум нефтяной БНИ-IV-3</t>
  </si>
  <si>
    <t>мастика битумно-резиновая</t>
  </si>
  <si>
    <t>сополимер БМК-5</t>
  </si>
  <si>
    <t>ветошь</t>
  </si>
  <si>
    <t>растворитель</t>
  </si>
  <si>
    <t>м2</t>
  </si>
  <si>
    <t>раковина</t>
  </si>
  <si>
    <t>унитаз "Компакт"</t>
  </si>
  <si>
    <t xml:space="preserve"> </t>
  </si>
  <si>
    <t>выключатель</t>
  </si>
  <si>
    <t>розетка</t>
  </si>
  <si>
    <t>патрон</t>
  </si>
  <si>
    <t>ГЭСН 08-03-600-1</t>
  </si>
  <si>
    <t>электросчётчик</t>
  </si>
  <si>
    <t>винты с полук.головкой</t>
  </si>
  <si>
    <t>ГЭСН 08-03-601-1</t>
  </si>
  <si>
    <t>лента липкая изоляционная</t>
  </si>
  <si>
    <t>сталь угловая ВСт3кп2</t>
  </si>
  <si>
    <t>лак битумный</t>
  </si>
  <si>
    <t>дюбели распорные</t>
  </si>
  <si>
    <t>установка звонка электрического с кнопкой</t>
  </si>
  <si>
    <t>щиток</t>
  </si>
  <si>
    <t>ГЭСН 08-03-604-1</t>
  </si>
  <si>
    <t>розетка деревянная</t>
  </si>
  <si>
    <t>провод</t>
  </si>
  <si>
    <t>колпачки изолирующие</t>
  </si>
  <si>
    <t xml:space="preserve">м </t>
  </si>
  <si>
    <t>кнопка звонка</t>
  </si>
  <si>
    <t>звонок</t>
  </si>
  <si>
    <t>1 м</t>
  </si>
  <si>
    <t>ЦНИС 2.2.1.3.3</t>
  </si>
  <si>
    <t>лента изоляционная</t>
  </si>
  <si>
    <t>лента киперная</t>
  </si>
  <si>
    <t>ЦНИС 2.2.2.3.1</t>
  </si>
  <si>
    <t>мелкий ремонт электропроводки от ввода в квартиру (кроме мест общего пользования в коммунальных квартирах)</t>
  </si>
  <si>
    <t>провод одножильный</t>
  </si>
  <si>
    <t>провод монтажный</t>
  </si>
  <si>
    <t>провод сечением 4 мм2</t>
  </si>
  <si>
    <t>тальк</t>
  </si>
  <si>
    <t>втулка изолирующая</t>
  </si>
  <si>
    <t>сжим ответвительный</t>
  </si>
  <si>
    <t>м</t>
  </si>
  <si>
    <t>смена электропроводки от ввода в квартиру (кроме мест общего пользования в коммунальных квартирах) сечением 2 х 1,5; 2 х 2,5</t>
  </si>
  <si>
    <t>смена электропроводки от ввода в квартиру (кроме мест общего пользования в коммунальных квартирах) сечением 3 х 1,5; 3 х 2,5</t>
  </si>
  <si>
    <t>ЦНИС 2.2.2.3.2</t>
  </si>
  <si>
    <t>ЦНИС 2.2.1.3.3.3</t>
  </si>
  <si>
    <t>ЦНИС 2.2.2.3.3.1</t>
  </si>
  <si>
    <t>ГЭСН 67-4-1</t>
  </si>
  <si>
    <t>замена электрических плит</t>
  </si>
  <si>
    <t>1 плита</t>
  </si>
  <si>
    <t>ЦНИС 2.2.2.3.45</t>
  </si>
  <si>
    <t>Ремонт напольных стационарных электроплит</t>
  </si>
  <si>
    <t>замена чугунной конфорки</t>
  </si>
  <si>
    <t>замена ТЕНа</t>
  </si>
  <si>
    <t>замена терморегулятора "жарочного шкафа"</t>
  </si>
  <si>
    <t>замена переключателя мощности</t>
  </si>
  <si>
    <t>замена кольца-обода конфорки</t>
  </si>
  <si>
    <t>замена ламп освещения жарочного шкафа</t>
  </si>
  <si>
    <t>замена ручки переключателя</t>
  </si>
  <si>
    <t>замена стекла жарочного шкафа</t>
  </si>
  <si>
    <t>замена автовыключателя</t>
  </si>
  <si>
    <t>замена штепсельного разъёма (вилки и розетки)</t>
  </si>
  <si>
    <t>обнаружение неисправности в схеме</t>
  </si>
  <si>
    <t>ремонт переключателя на месте (с зачисткой контактов)</t>
  </si>
  <si>
    <t>1 элемент</t>
  </si>
  <si>
    <t>ЦНИС 2.2.2.3.32</t>
  </si>
  <si>
    <t>частичная замена проводов и шин</t>
  </si>
  <si>
    <t>ЦНИС 2.2.2.3.33</t>
  </si>
  <si>
    <t>ЦНИС 2.2.2.3.34</t>
  </si>
  <si>
    <t>ЦНИС 2.2.2.3.35</t>
  </si>
  <si>
    <t>ЦНИС 2.2.2.3.36</t>
  </si>
  <si>
    <t>ЦНИС 2.2.2.3.37</t>
  </si>
  <si>
    <t>ЦНИС 2.2.2.3.38</t>
  </si>
  <si>
    <t>ЦНИС 2.2.2.3.39</t>
  </si>
  <si>
    <t>ЦНИС 2.2.2.3.40</t>
  </si>
  <si>
    <t>ЦНИС 2.2.2.3.41</t>
  </si>
  <si>
    <t>ЦНИС 2.2.2.3.42</t>
  </si>
  <si>
    <t>ЦНИС 2.2.2.3.43</t>
  </si>
  <si>
    <t>ЦНИС 2.2.2.3.44</t>
  </si>
  <si>
    <t>ЦНИС 2.2.2.3.4</t>
  </si>
  <si>
    <t>конфорка</t>
  </si>
  <si>
    <t>ТЭН</t>
  </si>
  <si>
    <t>плита</t>
  </si>
  <si>
    <t>ш</t>
  </si>
  <si>
    <t>терморегулятор</t>
  </si>
  <si>
    <t>переключатель</t>
  </si>
  <si>
    <t>кольцо-ободок</t>
  </si>
  <si>
    <t>лампа освещения</t>
  </si>
  <si>
    <t>ручка-переключатель</t>
  </si>
  <si>
    <t>стекло</t>
  </si>
  <si>
    <t>автовыключатель</t>
  </si>
  <si>
    <t>соединение штепсельное</t>
  </si>
  <si>
    <t>бумага наждачная</t>
  </si>
  <si>
    <t>см2</t>
  </si>
  <si>
    <t>ручка дверцы</t>
  </si>
  <si>
    <t>замена ручек дверцы</t>
  </si>
  <si>
    <t>замена выключателя подсвета</t>
  </si>
  <si>
    <t xml:space="preserve">замена терморегулятора   </t>
  </si>
  <si>
    <t>провод сечением 4 и 6 мм2</t>
  </si>
  <si>
    <t>кабель с резин.изоляцией</t>
  </si>
  <si>
    <t>вазелин технический</t>
  </si>
  <si>
    <t>ЦНИС 2.2.2.3.3.25</t>
  </si>
  <si>
    <t>ЦНИС 2.2.2.3.3.2</t>
  </si>
  <si>
    <t>ремонт оконных переплётов</t>
  </si>
  <si>
    <t xml:space="preserve">   - узкие одинарные коробки для одного переплёта</t>
  </si>
  <si>
    <t xml:space="preserve">   - узкие одинарные коробки со спаренными переплётами</t>
  </si>
  <si>
    <t xml:space="preserve">   - широкие составные коробки</t>
  </si>
  <si>
    <t>смена створок оконных переплётов</t>
  </si>
  <si>
    <t>угольники оконные</t>
  </si>
  <si>
    <t>1 створка</t>
  </si>
  <si>
    <t>ЦНИС 2.2.5.1</t>
  </si>
  <si>
    <t>ЦНИС 2.2.5.2</t>
  </si>
  <si>
    <t>ЦНИС 2.2.5.3</t>
  </si>
  <si>
    <t>ЦНИС 2.2.5.5.1</t>
  </si>
  <si>
    <t>створка</t>
  </si>
  <si>
    <t>ЦНИС 2.2.5.4</t>
  </si>
  <si>
    <t xml:space="preserve">ЦНИС 2.2.5.5 </t>
  </si>
  <si>
    <t>ЦНИС 2.2.5.6</t>
  </si>
  <si>
    <t>ремонт форточек</t>
  </si>
  <si>
    <t>1 форточка</t>
  </si>
  <si>
    <t>ЦНИС 2.2.5.5.3</t>
  </si>
  <si>
    <t>ремонт подоконных досок без снятия с места</t>
  </si>
  <si>
    <t>рейка деревянная</t>
  </si>
  <si>
    <t>клей столярный</t>
  </si>
  <si>
    <t>1 м доски</t>
  </si>
  <si>
    <t>ЦНИС 2.2.5.10</t>
  </si>
  <si>
    <t>ЦНИС 2.2.5.11</t>
  </si>
  <si>
    <t>ЦНИС 2.2.5.5.4</t>
  </si>
  <si>
    <t>ремонт дверных полотен</t>
  </si>
  <si>
    <t xml:space="preserve">   - двери на врезных шпонках</t>
  </si>
  <si>
    <t xml:space="preserve">      - одностворные</t>
  </si>
  <si>
    <t xml:space="preserve">      - двухстворные</t>
  </si>
  <si>
    <t>ЦНИС 2.2.5.12</t>
  </si>
  <si>
    <t xml:space="preserve">1 м2 </t>
  </si>
  <si>
    <t>доска II сорта 40-70 мм</t>
  </si>
  <si>
    <t>м3</t>
  </si>
  <si>
    <t>ЦНИС 2.2.5.5.5</t>
  </si>
  <si>
    <t xml:space="preserve">   - двери на планках</t>
  </si>
  <si>
    <t>ЦНИС 2.2.5.13</t>
  </si>
  <si>
    <t>ЦНИС 2.2.5.14</t>
  </si>
  <si>
    <t>ЦНИС 2.2.5.15</t>
  </si>
  <si>
    <t>смена оконных петель</t>
  </si>
  <si>
    <t xml:space="preserve">   - при одной сменяемой петле</t>
  </si>
  <si>
    <t xml:space="preserve">   - при двух сменяемых петлях</t>
  </si>
  <si>
    <t>петли</t>
  </si>
  <si>
    <t>ЦНИС 2.2.5.16</t>
  </si>
  <si>
    <t>ЦНИС 2.2.5.5.6</t>
  </si>
  <si>
    <t>ЦНИС 2.2.5.17</t>
  </si>
  <si>
    <t>смена дверных петель</t>
  </si>
  <si>
    <t>ЦНИС 2.2.5.18</t>
  </si>
  <si>
    <t>ЦНИС 2.2.5.19</t>
  </si>
  <si>
    <t>смена наличников оконных и дверных проёмов</t>
  </si>
  <si>
    <t xml:space="preserve">   - из мягкой древесины с укреплением гвоздями</t>
  </si>
  <si>
    <t>наличники</t>
  </si>
  <si>
    <t>гвозди 80 мм</t>
  </si>
  <si>
    <t>ЦНИС 2.2.5.20</t>
  </si>
  <si>
    <t>ЦНИС 2.2.5.5.7</t>
  </si>
  <si>
    <t xml:space="preserve">   - из мягкой древесины с укреплением шурупами</t>
  </si>
  <si>
    <t xml:space="preserve">   - из твёрдой древесины с навеской на крючки</t>
  </si>
  <si>
    <t>крючки металлические</t>
  </si>
  <si>
    <t>ЦНИС 2.2.5.21</t>
  </si>
  <si>
    <t>ЦНИС 2.2.5.22</t>
  </si>
  <si>
    <t>нашивка брусков на дверные коробки</t>
  </si>
  <si>
    <t>доски II сорт</t>
  </si>
  <si>
    <t>бруски II сорт</t>
  </si>
  <si>
    <t>гвозди 15 мм</t>
  </si>
  <si>
    <t>ЦНИС 2.2.5.23</t>
  </si>
  <si>
    <t>ЦНИС 2.2.5.5.8</t>
  </si>
  <si>
    <t>укрепление оконных и дверных наличников</t>
  </si>
  <si>
    <t>ЦНИС 2.2.5.5.9</t>
  </si>
  <si>
    <t>ЦНИС 2.2.5.24</t>
  </si>
  <si>
    <t>перемазка фальцев в оконных переплётах</t>
  </si>
  <si>
    <t>ЦНИС 2.2.5.25</t>
  </si>
  <si>
    <t>замазка битумная</t>
  </si>
  <si>
    <t xml:space="preserve">   - замазка приготовленная на олифе</t>
  </si>
  <si>
    <t>замазка белильная</t>
  </si>
  <si>
    <t xml:space="preserve">   - битумная или песковая замазка</t>
  </si>
  <si>
    <t>ЦНИС 2.2.5.26</t>
  </si>
  <si>
    <t xml:space="preserve">   - шпингалеты</t>
  </si>
  <si>
    <t>шпингалеты</t>
  </si>
  <si>
    <t xml:space="preserve">   - ручки-скобы</t>
  </si>
  <si>
    <t>ручка-скоба</t>
  </si>
  <si>
    <t xml:space="preserve">   - ручки-кнопки</t>
  </si>
  <si>
    <t>ручка-кнопка</t>
  </si>
  <si>
    <t xml:space="preserve">   - замки врезные</t>
  </si>
  <si>
    <t>замок врезной</t>
  </si>
  <si>
    <t xml:space="preserve">   - замки накладные</t>
  </si>
  <si>
    <t xml:space="preserve">   - задвижки</t>
  </si>
  <si>
    <t>замок накладной</t>
  </si>
  <si>
    <t>задвижка</t>
  </si>
  <si>
    <t>смена дверных приборов</t>
  </si>
  <si>
    <t xml:space="preserve">   - щеколды</t>
  </si>
  <si>
    <t>щеколда</t>
  </si>
  <si>
    <t>смена оконных приборов</t>
  </si>
  <si>
    <t xml:space="preserve">   - ручки</t>
  </si>
  <si>
    <t>ручки</t>
  </si>
  <si>
    <t xml:space="preserve">   - остановы</t>
  </si>
  <si>
    <t>остановы</t>
  </si>
  <si>
    <t xml:space="preserve">   - петли форточные</t>
  </si>
  <si>
    <t>петли форточные</t>
  </si>
  <si>
    <t xml:space="preserve">   - завёртки форточные</t>
  </si>
  <si>
    <t>завёртки форточные</t>
  </si>
  <si>
    <t xml:space="preserve">   - с конопаткой</t>
  </si>
  <si>
    <t>1 коробка</t>
  </si>
  <si>
    <t>пакля</t>
  </si>
  <si>
    <t>гипс строительный</t>
  </si>
  <si>
    <t xml:space="preserve">   - без конопатки</t>
  </si>
  <si>
    <t xml:space="preserve">   - дощатых</t>
  </si>
  <si>
    <t>доски для чистого пола</t>
  </si>
  <si>
    <t>гвозди</t>
  </si>
  <si>
    <t xml:space="preserve">   - паркетных</t>
  </si>
  <si>
    <t>паркетные щиты</t>
  </si>
  <si>
    <t>гвозди строительные</t>
  </si>
  <si>
    <t xml:space="preserve">шкурка шлифовальная </t>
  </si>
  <si>
    <t>плитка ПВХ</t>
  </si>
  <si>
    <t>мастика КН-2</t>
  </si>
  <si>
    <t xml:space="preserve">   - из плиток ПВХ 200 х 200</t>
  </si>
  <si>
    <t xml:space="preserve">   - из плиток ПВХ 300 х 300</t>
  </si>
  <si>
    <t>стекло оконное</t>
  </si>
  <si>
    <t>замазка</t>
  </si>
  <si>
    <t>гвозди отделочные</t>
  </si>
  <si>
    <t>штапики</t>
  </si>
  <si>
    <t>смена стёкол в деревянных переплётах</t>
  </si>
  <si>
    <t>ремонт штукатурки стен</t>
  </si>
  <si>
    <t>раствор цементно-известк.</t>
  </si>
  <si>
    <t xml:space="preserve">   - по камню и бетону</t>
  </si>
  <si>
    <t xml:space="preserve">   - по дереву</t>
  </si>
  <si>
    <t>раствор известковый</t>
  </si>
  <si>
    <t>дрань штукатурная</t>
  </si>
  <si>
    <t>ремонт штукатурки потолков</t>
  </si>
  <si>
    <t>ремонт штукатурки откосов</t>
  </si>
  <si>
    <t xml:space="preserve">   - прямолинейных</t>
  </si>
  <si>
    <t xml:space="preserve">   - криволинейных</t>
  </si>
  <si>
    <t>маслянная окраска</t>
  </si>
  <si>
    <t xml:space="preserve">   - стен</t>
  </si>
  <si>
    <t>ГЭСНр 61-7-4</t>
  </si>
  <si>
    <t>ГЭСНр 61-7-3</t>
  </si>
  <si>
    <t>ГЭСНр 61-5-1</t>
  </si>
  <si>
    <t>ГЭСНр 61-4-7</t>
  </si>
  <si>
    <t>ГЭСНр 61-3-1</t>
  </si>
  <si>
    <t>ГЭСНр 61-2-7</t>
  </si>
  <si>
    <t>ГЭСНр 63-1-2</t>
  </si>
  <si>
    <t>ГЭСНр 63-1-1</t>
  </si>
  <si>
    <t>ГЭСНр 57-9-2</t>
  </si>
  <si>
    <t>ГЭСНр 57-9-1</t>
  </si>
  <si>
    <t>ГЭСНр 57-14-1</t>
  </si>
  <si>
    <t>ГЭСНр 57-5-2</t>
  </si>
  <si>
    <t>ГЭСНр 56-18-2</t>
  </si>
  <si>
    <t>ГЭСНр 56-18-1</t>
  </si>
  <si>
    <t>ГЭСНр 56-12-16</t>
  </si>
  <si>
    <t>ГЭСНр 56-12-15</t>
  </si>
  <si>
    <t>ГЭСНр 56-12-14</t>
  </si>
  <si>
    <t>ГЭСНр 56-12-12</t>
  </si>
  <si>
    <t>ГЭСНр 56-12-11</t>
  </si>
  <si>
    <t>ГЭСНр 56-12-9</t>
  </si>
  <si>
    <t>ГЭСНр 56-12-8</t>
  </si>
  <si>
    <t>ГЭСНр 56-12-6</t>
  </si>
  <si>
    <t>ГЭСНр 56-12-5</t>
  </si>
  <si>
    <t>ГЭСНр 56-12-4</t>
  </si>
  <si>
    <t>ГЭСНр 56-12-3</t>
  </si>
  <si>
    <t>ГЭСНр 56-12-2</t>
  </si>
  <si>
    <t>ГЭСНр 67-11-1</t>
  </si>
  <si>
    <t>ГЭСНр 67-9-2</t>
  </si>
  <si>
    <t>ГЭСНр 67-9-1</t>
  </si>
  <si>
    <t>ГЭСНр 65-6-7</t>
  </si>
  <si>
    <t>ГЭСНр 65-6-12</t>
  </si>
  <si>
    <t>ГЭСНр 65-6-14</t>
  </si>
  <si>
    <t>ГЭСНр 65-6-20</t>
  </si>
  <si>
    <t>ГЭСНр 65-6-19</t>
  </si>
  <si>
    <t>ГЭСНр 65-6-16</t>
  </si>
  <si>
    <t>ГЭСНр 65-6-15</t>
  </si>
  <si>
    <t>ГЭСНр 65-6-24</t>
  </si>
  <si>
    <t>ГЭСНр 65-5-6</t>
  </si>
  <si>
    <t>ГЭСНр 65-5-7</t>
  </si>
  <si>
    <t>ГЭСНр 62-12-2</t>
  </si>
  <si>
    <t>шпатлёвка</t>
  </si>
  <si>
    <t>бумага шлифовальная</t>
  </si>
  <si>
    <t>пемза</t>
  </si>
  <si>
    <t xml:space="preserve">   - потолков</t>
  </si>
  <si>
    <t>ГЭСНр 62-13-2</t>
  </si>
  <si>
    <t xml:space="preserve">   - окон</t>
  </si>
  <si>
    <t>ГЭСНр 62-15-2</t>
  </si>
  <si>
    <t xml:space="preserve">   - дверей</t>
  </si>
  <si>
    <t>ГЭСНр 62-14-2</t>
  </si>
  <si>
    <t xml:space="preserve">   - полов</t>
  </si>
  <si>
    <t>ГЭСНр 62-11-6</t>
  </si>
  <si>
    <t>окраска труб</t>
  </si>
  <si>
    <t xml:space="preserve">   - стальных</t>
  </si>
  <si>
    <t>ГЭСНр 62-32-2</t>
  </si>
  <si>
    <t xml:space="preserve">   - чугунных</t>
  </si>
  <si>
    <t>ГЭСНр 62-32-4</t>
  </si>
  <si>
    <t>окраска радиаторов и труб ребристых</t>
  </si>
  <si>
    <t>ГЭСНр 62-33-2</t>
  </si>
  <si>
    <t>ГЭСНр 62-22-7</t>
  </si>
  <si>
    <t>обои</t>
  </si>
  <si>
    <t>шпатлёвка клеевая</t>
  </si>
  <si>
    <t>бумага ролевая</t>
  </si>
  <si>
    <t>клей обойный</t>
  </si>
  <si>
    <t>ГЭСН р 63-6-2</t>
  </si>
  <si>
    <t>ГЭСН р 63-9-2</t>
  </si>
  <si>
    <t>плитка керамическая</t>
  </si>
  <si>
    <t>растворы цементные</t>
  </si>
  <si>
    <t>цемент</t>
  </si>
  <si>
    <t>1 плитка</t>
  </si>
  <si>
    <t>ремонт, восстановление частями облицовки стен и пола ванных комнат и кухонь керамической плиткой</t>
  </si>
  <si>
    <t>ГЭСН 08-02-401-1</t>
  </si>
  <si>
    <t>скобы</t>
  </si>
  <si>
    <t>шурупы с полукр.головкой</t>
  </si>
  <si>
    <t>дюбели для пристрелки</t>
  </si>
  <si>
    <t>полоски и растяжки</t>
  </si>
  <si>
    <t>сталь Ст3сп шир.50-200 мм</t>
  </si>
  <si>
    <t>прокат для армирования</t>
  </si>
  <si>
    <t>полоса монтажная</t>
  </si>
  <si>
    <t>патроны для пристрелки</t>
  </si>
  <si>
    <t>электроды 4 мм</t>
  </si>
  <si>
    <t>кнопка монтажная</t>
  </si>
  <si>
    <t>лента К226</t>
  </si>
  <si>
    <t>демонтаж щитка для электросчётчика</t>
  </si>
  <si>
    <t>ГЭСН 67-4-6</t>
  </si>
  <si>
    <t>ГЭСН 16-07-003-1</t>
  </si>
  <si>
    <t>труба Ф15 мм</t>
  </si>
  <si>
    <t>электроды 5 мм</t>
  </si>
  <si>
    <t>кислород технический</t>
  </si>
  <si>
    <t>ацетилен</t>
  </si>
  <si>
    <t>смена ванны стальной*</t>
  </si>
  <si>
    <t>смена ванны чугунной*</t>
  </si>
  <si>
    <t>ванна чугунная</t>
  </si>
  <si>
    <t>ГЭСНр 65-6-17</t>
  </si>
  <si>
    <t>ванна стальная</t>
  </si>
  <si>
    <t>ГЭСНр 65-6-18</t>
  </si>
  <si>
    <t>врезка глазка</t>
  </si>
  <si>
    <t>глазок дверной</t>
  </si>
  <si>
    <t>ГЭСНр 69-2-4; 56-12-4</t>
  </si>
  <si>
    <t>закрепы металлические</t>
  </si>
  <si>
    <t>Утверждаю:</t>
  </si>
  <si>
    <t>2</t>
  </si>
  <si>
    <t>3</t>
  </si>
  <si>
    <t>300-0038</t>
  </si>
  <si>
    <t>300-9850</t>
  </si>
  <si>
    <t>300-1134</t>
  </si>
  <si>
    <t>300-0628</t>
  </si>
  <si>
    <t>300-0043</t>
  </si>
  <si>
    <t>300-0047</t>
  </si>
  <si>
    <t>вентиль</t>
  </si>
  <si>
    <t>300-9008-311</t>
  </si>
  <si>
    <t>300-9005-003</t>
  </si>
  <si>
    <t>101-0311</t>
  </si>
  <si>
    <t>101-0627</t>
  </si>
  <si>
    <t>101-1757</t>
  </si>
  <si>
    <t>101-1669</t>
  </si>
  <si>
    <t>101-1487</t>
  </si>
  <si>
    <t>101-1355</t>
  </si>
  <si>
    <t>101-0324</t>
  </si>
  <si>
    <t>101-0383</t>
  </si>
  <si>
    <t>300-0901</t>
  </si>
  <si>
    <t>300-0905</t>
  </si>
  <si>
    <t>300-0572</t>
  </si>
  <si>
    <t>541-0068</t>
  </si>
  <si>
    <t>101-9466</t>
  </si>
  <si>
    <t>300-0617</t>
  </si>
  <si>
    <t>300-0644</t>
  </si>
  <si>
    <t>300-0487</t>
  </si>
  <si>
    <t>300-0502</t>
  </si>
  <si>
    <t>300-0638</t>
  </si>
  <si>
    <t>300-1225</t>
  </si>
  <si>
    <t>101-0857</t>
  </si>
  <si>
    <t>101-9266</t>
  </si>
  <si>
    <t>101-0837</t>
  </si>
  <si>
    <t>101-0072</t>
  </si>
  <si>
    <t>101-1744</t>
  </si>
  <si>
    <t>101-1851</t>
  </si>
  <si>
    <t>101-1602</t>
  </si>
  <si>
    <t>545-0017</t>
  </si>
  <si>
    <t>101-1829</t>
  </si>
  <si>
    <t>101-0111</t>
  </si>
  <si>
    <t>101-0115</t>
  </si>
  <si>
    <t>101-0162</t>
  </si>
  <si>
    <t>101-0160</t>
  </si>
  <si>
    <t>101-0179</t>
  </si>
  <si>
    <t>101-0161</t>
  </si>
  <si>
    <t>101-0141</t>
  </si>
  <si>
    <t>101-1671</t>
  </si>
  <si>
    <t>101-0960</t>
  </si>
  <si>
    <t>101-0935</t>
  </si>
  <si>
    <t>101-1847</t>
  </si>
  <si>
    <t>101-0950</t>
  </si>
  <si>
    <t>102-0284</t>
  </si>
  <si>
    <t>542-0055</t>
  </si>
  <si>
    <t>101-1479</t>
  </si>
  <si>
    <t>101-1596</t>
  </si>
  <si>
    <t>101-1832</t>
  </si>
  <si>
    <t>102-0308</t>
  </si>
  <si>
    <t>300-0554-001</t>
  </si>
  <si>
    <t>500-9013-002</t>
  </si>
  <si>
    <t>108-1851</t>
  </si>
  <si>
    <t>101-0956</t>
  </si>
  <si>
    <t>101-0957</t>
  </si>
  <si>
    <t>101-0569</t>
  </si>
  <si>
    <t>101-0219</t>
  </si>
  <si>
    <t>101-1786</t>
  </si>
  <si>
    <t>101-0609</t>
  </si>
  <si>
    <t>101-0631</t>
  </si>
  <si>
    <t>опилки древесные</t>
  </si>
  <si>
    <t>113-0194</t>
  </si>
  <si>
    <t>113-0177</t>
  </si>
  <si>
    <t>101-1513</t>
  </si>
  <si>
    <t>101-1521</t>
  </si>
  <si>
    <t>201-9005-001</t>
  </si>
  <si>
    <t>502-0052</t>
  </si>
  <si>
    <t>101-1705</t>
  </si>
  <si>
    <t>101-1805</t>
  </si>
  <si>
    <t>203-0259</t>
  </si>
  <si>
    <t>203-0360</t>
  </si>
  <si>
    <t>203-0250</t>
  </si>
  <si>
    <t>300-9910</t>
  </si>
  <si>
    <t>500-9120</t>
  </si>
  <si>
    <t>544-0101</t>
  </si>
  <si>
    <t>544-0110</t>
  </si>
  <si>
    <t>500-9832-001</t>
  </si>
  <si>
    <t>101-1642</t>
  </si>
  <si>
    <t>101-0982</t>
  </si>
  <si>
    <t>101-1247</t>
  </si>
  <si>
    <t>101-1764</t>
  </si>
  <si>
    <t>514-0042</t>
  </si>
  <si>
    <t>101-1148</t>
  </si>
  <si>
    <t>110-0171</t>
  </si>
  <si>
    <t>101-1814</t>
  </si>
  <si>
    <t>101-0639</t>
  </si>
  <si>
    <t>402-0041</t>
  </si>
  <si>
    <t>402-9086</t>
  </si>
  <si>
    <t>402-0085</t>
  </si>
  <si>
    <t>101-0258</t>
  </si>
  <si>
    <t>101-1817</t>
  </si>
  <si>
    <t>507-0364</t>
  </si>
  <si>
    <t>507-0366</t>
  </si>
  <si>
    <t>507-0501</t>
  </si>
  <si>
    <t>203-9007</t>
  </si>
  <si>
    <t>203-9150</t>
  </si>
  <si>
    <t>101-0955</t>
  </si>
  <si>
    <t>Часовая тарифная ставка с уч.рент.25%, руб.</t>
  </si>
  <si>
    <t>101-1305</t>
  </si>
  <si>
    <t>101-1712</t>
  </si>
  <si>
    <r>
      <t>_______________</t>
    </r>
    <r>
      <rPr>
        <b/>
        <sz val="10"/>
        <rFont val="Times New Roman"/>
        <family val="1"/>
      </rPr>
      <t>В.В.Источников</t>
    </r>
  </si>
  <si>
    <t>прочистка трубопроводов х/г водоснабжения</t>
  </si>
  <si>
    <t>1 прочистка</t>
  </si>
  <si>
    <t>трубы стальные</t>
  </si>
  <si>
    <t>проволока сварочная</t>
  </si>
  <si>
    <t>мп</t>
  </si>
  <si>
    <t>ГЭСНр 65-15-1</t>
  </si>
  <si>
    <t>1 мп</t>
  </si>
  <si>
    <t>ГЭСНр 65-7-1</t>
  </si>
  <si>
    <t>трубы чугунные</t>
  </si>
  <si>
    <t>смена водогазопроводных труб Ф до 20 мм</t>
  </si>
  <si>
    <t>1 шт</t>
  </si>
  <si>
    <t>ГЭСНр 65-5-1</t>
  </si>
  <si>
    <t>смена вентилей Ф до 20 мм (без учёта стоимости арматуры)</t>
  </si>
  <si>
    <t>смена чугунных канал-х труб Ф50 мм (без учёта стоимости труб и фас.ч.)</t>
  </si>
  <si>
    <t>ГЭСНр 65-8-1</t>
  </si>
  <si>
    <t>смена полиэт-х канал-х труб Ф50 мм (без учёта стоимости материалов)</t>
  </si>
  <si>
    <t xml:space="preserve"> смена сгонов у трубопроводов</t>
  </si>
  <si>
    <t>1 сгон</t>
  </si>
  <si>
    <t>сгон стальной с муфтой и гайкой Д до 20мм</t>
  </si>
  <si>
    <t>ГЭСНр 65-16-1</t>
  </si>
  <si>
    <t>смена сифона под мойку</t>
  </si>
  <si>
    <t>1шт</t>
  </si>
  <si>
    <t>сифон полиэтиленовый</t>
  </si>
  <si>
    <t>смена сифона под ванну</t>
  </si>
  <si>
    <t>ГЭСНр 65-6-3</t>
  </si>
  <si>
    <t xml:space="preserve">сифон чугунный </t>
  </si>
  <si>
    <t>ГЭСНр 65-6-8</t>
  </si>
  <si>
    <t>смена гибкой подводки</t>
  </si>
  <si>
    <t>ГЭСНр 65-6-10</t>
  </si>
  <si>
    <t>отключение стояков (слив и наполнение водой системы отопления)</t>
  </si>
  <si>
    <t>ГЭСНр 65-23-3</t>
  </si>
  <si>
    <t>ГЭСНр 65-23-4</t>
  </si>
  <si>
    <t xml:space="preserve"> -слив воды из системы</t>
  </si>
  <si>
    <t xml:space="preserve"> -осмотр отремонтир.приборов отопления при наполнении системы водой</t>
  </si>
  <si>
    <t>ГЭСНр 65-2-1</t>
  </si>
  <si>
    <t>разборка трубопроводов из чугунных канализационных труб</t>
  </si>
  <si>
    <t>прокладка трубопроводов канализации из полиэтиленовых труб</t>
  </si>
  <si>
    <t>ГЭСНр 16-04-001-01</t>
  </si>
  <si>
    <t xml:space="preserve">труба полиэтиленовые </t>
  </si>
  <si>
    <t>кольца резиновые</t>
  </si>
  <si>
    <t>300-1324</t>
  </si>
  <si>
    <t>смена ламп накаливания</t>
  </si>
  <si>
    <t>ГЭСНр  67-5-1</t>
  </si>
  <si>
    <t>ГЭСНр  67-5-2</t>
  </si>
  <si>
    <t>смена ламп люминесцентных</t>
  </si>
  <si>
    <t>смена светильников с лампами накаливания</t>
  </si>
  <si>
    <t>ГЭСНр  67-8-1</t>
  </si>
  <si>
    <t>ГЭСНр  67-8-2</t>
  </si>
  <si>
    <t xml:space="preserve">смена светильников с люминесцентными лампами </t>
  </si>
  <si>
    <t>1 отверстие</t>
  </si>
  <si>
    <t>ГЭСНр  69-2-1</t>
  </si>
  <si>
    <t xml:space="preserve">   - при площади стекла до 0,25 м2 (без учета стоимости стекла)</t>
  </si>
  <si>
    <t xml:space="preserve">   - при площади стекла до 0,5 м2(без учета стоимости стекла)</t>
  </si>
  <si>
    <t xml:space="preserve">   - при площади стекла до 1 м2 (без учета стоимости стекла)</t>
  </si>
  <si>
    <t>За дополнительной информацией обращаться по телефону___37922___</t>
  </si>
  <si>
    <t>1прибор</t>
  </si>
  <si>
    <t>ГЭСНр 65-4-8,65-6-9</t>
  </si>
  <si>
    <t>ГЭСНр 65-4-10,65-6-9</t>
  </si>
  <si>
    <t>ГЭСНр 65-9-12</t>
  </si>
  <si>
    <t xml:space="preserve">Ремонт смесителя: </t>
  </si>
  <si>
    <t>1.1.</t>
  </si>
  <si>
    <t xml:space="preserve"> Смена прокладок:</t>
  </si>
  <si>
    <t xml:space="preserve">  -для смесителя с душем</t>
  </si>
  <si>
    <t xml:space="preserve">  -для смесителя без душа</t>
  </si>
  <si>
    <t>ЦНИС 2.2.1.2.14</t>
  </si>
  <si>
    <t>Набивка сальников:</t>
  </si>
  <si>
    <t>1.2.</t>
  </si>
  <si>
    <t xml:space="preserve"> -высокорасположеного</t>
  </si>
  <si>
    <t xml:space="preserve"> -расположенного на унитазе</t>
  </si>
  <si>
    <t xml:space="preserve">Смена смывного бачка: </t>
  </si>
  <si>
    <t>1.3.</t>
  </si>
  <si>
    <t>Ремонт смывного бачка типа "Компакт" со снятием с места</t>
  </si>
  <si>
    <t>ССЦ  1кв 2006</t>
  </si>
  <si>
    <t>ГЭСНр 65-5-9</t>
  </si>
  <si>
    <t>Cмена задвижки</t>
  </si>
  <si>
    <t xml:space="preserve"> -диаметром 150мм</t>
  </si>
  <si>
    <t>ГЭСНр 65-5-10</t>
  </si>
  <si>
    <t>арматура фланцевая</t>
  </si>
  <si>
    <t>прокладки из паронита</t>
  </si>
  <si>
    <t xml:space="preserve"> -диаметром 50мм</t>
  </si>
  <si>
    <t>ГЭСНр 65-5-8</t>
  </si>
  <si>
    <t>Замена внутренних трубопроводов из стальных труб на многослойные металл-полимерные трубы</t>
  </si>
  <si>
    <t>1.4.</t>
  </si>
  <si>
    <t>1.5.</t>
  </si>
  <si>
    <t>ЦНИС 2.2.2.33</t>
  </si>
  <si>
    <t>ГЭСНр 65-4-10,ЦНИС 2.2.1.2.2</t>
  </si>
  <si>
    <t xml:space="preserve"> -диаметром 80,100мм</t>
  </si>
  <si>
    <t>Смена радиаторных блоков:</t>
  </si>
  <si>
    <t xml:space="preserve"> -весом до 80кг</t>
  </si>
  <si>
    <t xml:space="preserve"> -весом до 160кг</t>
  </si>
  <si>
    <t xml:space="preserve"> -весом до 240кг</t>
  </si>
  <si>
    <t>ЦНИС 2.2.2.1.4</t>
  </si>
  <si>
    <t>300-1237</t>
  </si>
  <si>
    <t>102-0120</t>
  </si>
  <si>
    <t>300-0949</t>
  </si>
  <si>
    <t>300-0952</t>
  </si>
  <si>
    <t>300-0037</t>
  </si>
  <si>
    <t>541-0067</t>
  </si>
  <si>
    <t>300-0954</t>
  </si>
  <si>
    <t>Установка душевых кабин</t>
  </si>
  <si>
    <t>- с чугунными поддонами</t>
  </si>
  <si>
    <t>1 шт.</t>
  </si>
  <si>
    <t>ГЭСН 17-01-001</t>
  </si>
  <si>
    <t>цемент гипсогл.расширяющ.</t>
  </si>
  <si>
    <t>краска масл.земляная:мумия</t>
  </si>
  <si>
    <t>101-0388</t>
  </si>
  <si>
    <t>олифа комбинированная</t>
  </si>
  <si>
    <t>101-0628</t>
  </si>
  <si>
    <t>-со стальными поддонами</t>
  </si>
  <si>
    <t>-с пластиковыми поддонами</t>
  </si>
  <si>
    <t>101-0807</t>
  </si>
  <si>
    <t xml:space="preserve"> 1.1</t>
  </si>
  <si>
    <t xml:space="preserve"> 1.2  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</si>
  <si>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</si>
  <si>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</si>
  <si>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</si>
  <si>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</si>
  <si>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</si>
  <si>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</si>
  <si>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</si>
  <si>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</si>
  <si>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</si>
  <si>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</si>
  <si>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</si>
  <si>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</si>
  <si>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</si>
  <si>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</si>
  <si>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</si>
  <si>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</si>
  <si>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</si>
  <si>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</si>
  <si>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</si>
  <si>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</si>
  <si>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</si>
  <si>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</si>
  <si>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</si>
  <si>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</si>
  <si>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</si>
  <si>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</si>
  <si>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</si>
  <si>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</si>
  <si>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</si>
  <si>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>1.34.</t>
  </si>
  <si>
    <t xml:space="preserve"> 1.35</t>
  </si>
  <si>
    <t>1.36.</t>
  </si>
  <si>
    <t>1.37.</t>
  </si>
  <si>
    <t>1.38.</t>
  </si>
  <si>
    <t>1.39.</t>
  </si>
  <si>
    <t>113-0196</t>
  </si>
  <si>
    <t>Ремонт задвижки без снятия с места</t>
  </si>
  <si>
    <t xml:space="preserve"> -диаметром 100мм</t>
  </si>
  <si>
    <t xml:space="preserve"> -диаметром 200мм</t>
  </si>
  <si>
    <t>резина 5мм</t>
  </si>
  <si>
    <t>литол</t>
  </si>
  <si>
    <t xml:space="preserve">Смена арматуры, вентилей и клапанов </t>
  </si>
  <si>
    <t xml:space="preserve"> -диаметром до 32мм</t>
  </si>
  <si>
    <t xml:space="preserve"> -диаметром до 50мм</t>
  </si>
  <si>
    <t xml:space="preserve"> 2.1</t>
  </si>
  <si>
    <t xml:space="preserve"> 2.2</t>
  </si>
  <si>
    <t xml:space="preserve"> 2.3</t>
  </si>
  <si>
    <t xml:space="preserve">  2.4</t>
  </si>
  <si>
    <t xml:space="preserve"> 2.6</t>
  </si>
  <si>
    <t>1.40.</t>
  </si>
  <si>
    <t xml:space="preserve"> 2.7</t>
  </si>
  <si>
    <t xml:space="preserve"> 2.9</t>
  </si>
  <si>
    <t xml:space="preserve"> 2.11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</si>
  <si>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</si>
  <si>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</si>
  <si>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</si>
  <si>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</si>
  <si>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</si>
  <si>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</si>
  <si>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</si>
  <si>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</si>
  <si>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</si>
  <si>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</si>
  <si>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</si>
  <si>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</si>
  <si>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</si>
  <si>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</si>
  <si>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</si>
  <si>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</si>
  <si>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</si>
  <si>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</si>
  <si>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</si>
  <si>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</si>
  <si>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</si>
  <si>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</si>
  <si>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</si>
  <si>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</si>
  <si>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</si>
  <si>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</si>
  <si>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</si>
  <si>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</si>
  <si>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</si>
  <si>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</si>
  <si>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</si>
  <si>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</si>
  <si>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</si>
  <si>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</si>
  <si>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</si>
  <si>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</si>
  <si>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</si>
  <si>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</si>
  <si>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</si>
  <si>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</si>
  <si>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</si>
  <si>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</si>
  <si>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</si>
  <si>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</si>
  <si>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</si>
  <si>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</si>
  <si>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</si>
  <si>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</si>
  <si>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>Установка сопла</t>
  </si>
  <si>
    <t xml:space="preserve"> 1.41</t>
  </si>
  <si>
    <t xml:space="preserve">резина 5мм </t>
  </si>
  <si>
    <t>болт М12</t>
  </si>
  <si>
    <t>гайка М12</t>
  </si>
  <si>
    <t>ГЭСНр</t>
  </si>
  <si>
    <t>1.33.1</t>
  </si>
  <si>
    <t>1.33.2</t>
  </si>
  <si>
    <t>Замена пробко-спускного крана</t>
  </si>
  <si>
    <t xml:space="preserve"> 1.42</t>
  </si>
  <si>
    <t xml:space="preserve"> 1.43</t>
  </si>
  <si>
    <t>Стоимость материалов с НДС, руб.</t>
  </si>
  <si>
    <t>Стоимость работ       с НДС, руб.</t>
  </si>
  <si>
    <t>Директор МУП "Жилищный сервис"</t>
  </si>
  <si>
    <t xml:space="preserve">№ </t>
  </si>
  <si>
    <t>Номер</t>
  </si>
  <si>
    <t>Наименование</t>
  </si>
  <si>
    <t>Норма</t>
  </si>
  <si>
    <t xml:space="preserve">Средний </t>
  </si>
  <si>
    <t>Тариф</t>
  </si>
  <si>
    <t>Стоимость</t>
  </si>
  <si>
    <t>НДС</t>
  </si>
  <si>
    <t>п/п</t>
  </si>
  <si>
    <t>расценки</t>
  </si>
  <si>
    <t>трудоз.</t>
  </si>
  <si>
    <t>разряд</t>
  </si>
  <si>
    <t>без НДС</t>
  </si>
  <si>
    <t>с уч.рент.</t>
  </si>
  <si>
    <t>руб.</t>
  </si>
  <si>
    <t>с НДС</t>
  </si>
  <si>
    <t>чел.ч.</t>
  </si>
  <si>
    <t>руб/чел.ч.</t>
  </si>
  <si>
    <t>25%, руб.</t>
  </si>
  <si>
    <t>Электротехнические работы</t>
  </si>
  <si>
    <t>Замеры</t>
  </si>
  <si>
    <t>1.</t>
  </si>
  <si>
    <t>01-11-013-01</t>
  </si>
  <si>
    <t>1 т-к</t>
  </si>
  <si>
    <t>2.</t>
  </si>
  <si>
    <t>01-11-028-01</t>
  </si>
  <si>
    <t>Сопрот.изол.кабельных линий</t>
  </si>
  <si>
    <t>1 лин</t>
  </si>
  <si>
    <t>3.</t>
  </si>
  <si>
    <t>01-11-028-02</t>
  </si>
  <si>
    <t>Сопрот.изол.обм.машин и аппаратов</t>
  </si>
  <si>
    <t>1 изм</t>
  </si>
  <si>
    <t>4.</t>
  </si>
  <si>
    <t>01-11-011-01</t>
  </si>
  <si>
    <t>Пр-ка нал.цепи между заз.и заз.эл.</t>
  </si>
  <si>
    <t>1 т-ка</t>
  </si>
  <si>
    <t>5.</t>
  </si>
  <si>
    <t>01-11-012-01</t>
  </si>
  <si>
    <t>Опред.уд.сопротивления грунта</t>
  </si>
  <si>
    <t>Демонтаж</t>
  </si>
  <si>
    <t>Демонтаж скрытой эл.проводки</t>
  </si>
  <si>
    <t>1 м.</t>
  </si>
  <si>
    <t>Демонтаж наружной эл.проводки</t>
  </si>
  <si>
    <t>Демонтаж кабеля</t>
  </si>
  <si>
    <t>Демонтаж выключателей, розеток</t>
  </si>
  <si>
    <t>шт.</t>
  </si>
  <si>
    <t>Демонтаж патрона</t>
  </si>
  <si>
    <t>6.</t>
  </si>
  <si>
    <t>Демонтаж светильника с л/накаливан.</t>
  </si>
  <si>
    <t>7.</t>
  </si>
  <si>
    <t>Демонтаж бра</t>
  </si>
  <si>
    <t>8.</t>
  </si>
  <si>
    <t>Демонтаж светильника с люм.лампой</t>
  </si>
  <si>
    <t>9.</t>
  </si>
  <si>
    <t>Демонтаж эл.счётчика</t>
  </si>
  <si>
    <t>Монтаж</t>
  </si>
  <si>
    <t>Е23-1-1-1б</t>
  </si>
  <si>
    <t>Монтаж пров. в гот.кан.стен и пер.</t>
  </si>
  <si>
    <t>Е23-1-1-3б</t>
  </si>
  <si>
    <t>Монтаж пров.под штук.или в г.бор.</t>
  </si>
  <si>
    <t>Е23-1-1-6б</t>
  </si>
  <si>
    <t>Монтаж пров. по дер.основанию</t>
  </si>
  <si>
    <t>Е23-1-3-1в</t>
  </si>
  <si>
    <t>Прокладка кабеля</t>
  </si>
  <si>
    <t>Е23-1-22-1</t>
  </si>
  <si>
    <t>Уст. 1 кл.выкл., кн.звонка,роз.нар.</t>
  </si>
  <si>
    <t>Е23-1-22-2</t>
  </si>
  <si>
    <t>Устан. 2 кл.выкл.нар.</t>
  </si>
  <si>
    <t>Е23-1-22-4</t>
  </si>
  <si>
    <t>Устан. 1 кл.выкл.,роз.вн.</t>
  </si>
  <si>
    <t>Е23-1-22-5</t>
  </si>
  <si>
    <t>Устан. 2 кл.выкл.вн.</t>
  </si>
  <si>
    <t>Е23-1-22-16</t>
  </si>
  <si>
    <t>Установка счётчика 2-х фазного</t>
  </si>
  <si>
    <t>10.</t>
  </si>
  <si>
    <t>Е23-1-22-17</t>
  </si>
  <si>
    <t>Установка счётчика 3-х фазного</t>
  </si>
  <si>
    <t>11.</t>
  </si>
  <si>
    <t>Е23-1-17-1</t>
  </si>
  <si>
    <t>Монтаж патрона</t>
  </si>
  <si>
    <t>12.</t>
  </si>
  <si>
    <t>Е23-1-17-4</t>
  </si>
  <si>
    <t>Монтаж свет. с л/нак.до 5 шт.</t>
  </si>
  <si>
    <t>13.</t>
  </si>
  <si>
    <t>Е23-1-18-1</t>
  </si>
  <si>
    <t>Монтаж люм.свет. 1 лампа, эл.звон.</t>
  </si>
  <si>
    <t>14.</t>
  </si>
  <si>
    <t>Е23-1-18-2</t>
  </si>
  <si>
    <t>Монтаж люм.свет. 2 лампы</t>
  </si>
  <si>
    <t>15.</t>
  </si>
  <si>
    <t>Е23-1-18-3</t>
  </si>
  <si>
    <t>Монтаж люм.свет. до 4 ламп</t>
  </si>
  <si>
    <t>Смена</t>
  </si>
  <si>
    <t>Смена лампочек накаливания</t>
  </si>
  <si>
    <t>Смена люминесцентных ламп</t>
  </si>
  <si>
    <t>Смена светильников с л/накаливания</t>
  </si>
  <si>
    <t>Смена светильников с люм.лампами</t>
  </si>
  <si>
    <t>Смена выключателей</t>
  </si>
  <si>
    <t>Смена розеток</t>
  </si>
  <si>
    <t>Смена эл.счётчиков</t>
  </si>
  <si>
    <t>Смена патронов</t>
  </si>
  <si>
    <t>Рем.гр.эл.сч.на л/кл.без рем.авт.</t>
  </si>
  <si>
    <t>Рем.гр.эл.сч.на л/кл.со сменой авт.</t>
  </si>
  <si>
    <t>Разные</t>
  </si>
  <si>
    <t>Е23-1-23-4</t>
  </si>
  <si>
    <t>Сверление отверстий для проводов</t>
  </si>
  <si>
    <t>отв</t>
  </si>
  <si>
    <t>Е23-1-23-7</t>
  </si>
  <si>
    <t>Сверление отв.для дюбелей в кирп.</t>
  </si>
  <si>
    <t>Е23-1-23-8</t>
  </si>
  <si>
    <t>Сверление отв.для дюбелей в бет.</t>
  </si>
  <si>
    <t>Е23-1-24-1</t>
  </si>
  <si>
    <t>Заделка отв.в перегородках</t>
  </si>
  <si>
    <t>Е23-1-24-2</t>
  </si>
  <si>
    <t>Заделка отв.в бетон.и кирп.стенах</t>
  </si>
  <si>
    <t>Е23-1-22-19</t>
  </si>
  <si>
    <t>Установка вентилятора в кухне</t>
  </si>
  <si>
    <t>Е23-1-22-25</t>
  </si>
  <si>
    <t>Установка электро-плиты</t>
  </si>
  <si>
    <t>Е23-1-22-26</t>
  </si>
  <si>
    <t>Подключение электро-плиты</t>
  </si>
  <si>
    <t>Примечание:</t>
  </si>
  <si>
    <t xml:space="preserve">1.Стоим.указанных работ приведена без учёта стоим. материалов и использ.механизмов и машин. </t>
  </si>
  <si>
    <t>2.В соответствующих случаях к нормам времени и стоимости работ применять коэффициенты стес-</t>
  </si>
  <si>
    <t>нённости условий труда в соответствии с "Общими указаниями по применению ГЭСН(ГЭСНр)-2001.</t>
  </si>
  <si>
    <t>3. Работы не предусмотренные настоящим реестром расчитываются отдельно на основании заявок</t>
  </si>
  <si>
    <t>ГСНЭР 67-1-1</t>
  </si>
  <si>
    <t>ГСНЭР 67-1-2</t>
  </si>
  <si>
    <t>ГСНЭР 67-3-1</t>
  </si>
  <si>
    <t>ГСНЭР 67-4-1</t>
  </si>
  <si>
    <t>ГСНЭР 67-4-2</t>
  </si>
  <si>
    <t>ГСНЭР 67-4-3</t>
  </si>
  <si>
    <t>ГСНЭР 67-4-4</t>
  </si>
  <si>
    <t>ГСНЭР 67-4-5</t>
  </si>
  <si>
    <t>ГСНЭР 67-4-6</t>
  </si>
  <si>
    <t>ГСНЭР 65-5-1</t>
  </si>
  <si>
    <t>ГСНЭР 67-5-2</t>
  </si>
  <si>
    <t>ГСНЭР 67-8-1</t>
  </si>
  <si>
    <t>ГСНЭР 67-8-2</t>
  </si>
  <si>
    <t>ГСНЭР 67-9-1</t>
  </si>
  <si>
    <t>ГСНЭР 67-9-2</t>
  </si>
  <si>
    <t>ГСНЭР 67-10-1</t>
  </si>
  <si>
    <t>ГСНЭР 67-11-1</t>
  </si>
  <si>
    <t>ГСНЭР 67-13-1</t>
  </si>
  <si>
    <t>ГСНЭР 67-14-1</t>
  </si>
  <si>
    <t>Замеры:</t>
  </si>
  <si>
    <t>замена стационарных электроплит</t>
  </si>
  <si>
    <t xml:space="preserve">замена неисправного выключателя </t>
  </si>
  <si>
    <t>установка трёхфазного электросчётчика</t>
  </si>
  <si>
    <t>демонтаж  электросчётчика</t>
  </si>
  <si>
    <t>ремонт груп.электросчётчика на л/клетке без ремонта автомата</t>
  </si>
  <si>
    <t>ремонт груп.электросчётчика на л/клетке со сменой автомата</t>
  </si>
  <si>
    <t>установка вентилятора</t>
  </si>
  <si>
    <t>сверление отверстий для проводов</t>
  </si>
  <si>
    <t>сверление отверстий для дюбелей в кирпичной стене</t>
  </si>
  <si>
    <t>сверление отверстий для дюбелей в бетон.стене</t>
  </si>
  <si>
    <t>заделка отверстий в перегородках</t>
  </si>
  <si>
    <t>заделка отверстий в бетонных и кирпичных стенах</t>
  </si>
  <si>
    <t xml:space="preserve"> 2.8</t>
  </si>
  <si>
    <t xml:space="preserve"> 2.10</t>
  </si>
  <si>
    <t xml:space="preserve"> 2.12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</si>
  <si>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</si>
  <si>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</si>
  <si>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</si>
  <si>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</si>
  <si>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</si>
  <si>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</si>
  <si>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</si>
  <si>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</si>
  <si>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>Подключение передвижного электроприемника к ШВ 0,4 Кв</t>
  </si>
  <si>
    <t>1 подключение</t>
  </si>
  <si>
    <t>замена штепсельной розетки</t>
  </si>
  <si>
    <t xml:space="preserve"> 2.13</t>
  </si>
  <si>
    <t xml:space="preserve"> 2.14</t>
  </si>
  <si>
    <t xml:space="preserve"> 2.15</t>
  </si>
  <si>
    <t xml:space="preserve">Замена внутриквартирной разводки(гребенки) канализации </t>
  </si>
  <si>
    <t>-демонтаж чугунных канализационных труб (п.1.31)</t>
  </si>
  <si>
    <t>-монтаж полиэтиленовых труб (п.1.32)</t>
  </si>
  <si>
    <t>-замена кух.сифона (п.1.27)</t>
  </si>
  <si>
    <t>-замена ван.сифона (п.1.28)</t>
  </si>
  <si>
    <t>Итого (п2+п.4+п.5+п.6).:</t>
  </si>
  <si>
    <t xml:space="preserve">Замена внутриквартирной разводки(гребенки) водогазопроводных труб </t>
  </si>
  <si>
    <t>-смена водогазопроводных тру</t>
  </si>
  <si>
    <t>1 услуга</t>
  </si>
  <si>
    <t>ГЭСН 08-02-401-2</t>
  </si>
  <si>
    <t>сжим У-731</t>
  </si>
  <si>
    <t>ГЭСН 08-02-401-3</t>
  </si>
  <si>
    <t>Замена электросчетчика 3-х фазного</t>
  </si>
  <si>
    <t xml:space="preserve"> 1.2</t>
  </si>
  <si>
    <t>4</t>
  </si>
  <si>
    <t>5</t>
  </si>
  <si>
    <t>6</t>
  </si>
  <si>
    <t>7</t>
  </si>
  <si>
    <t>8</t>
  </si>
  <si>
    <t>9</t>
  </si>
  <si>
    <t>10</t>
  </si>
  <si>
    <t>Прочистка канализации, стояка, лежака</t>
  </si>
  <si>
    <t>3 чел</t>
  </si>
  <si>
    <t>Прочистка наружной системы канализации (колодцы)</t>
  </si>
  <si>
    <t>4 чел</t>
  </si>
  <si>
    <t>Прочистка фильтров до 100 мм</t>
  </si>
  <si>
    <t>2 чел</t>
  </si>
  <si>
    <t>Сварочные работы</t>
  </si>
  <si>
    <t>Замена стальных труб на:</t>
  </si>
  <si>
    <t>1м</t>
  </si>
  <si>
    <t>-металл-полимерные</t>
  </si>
  <si>
    <t>ГЭСНр 65-15-6</t>
  </si>
  <si>
    <t>замена умывальников</t>
  </si>
  <si>
    <t>Монтаж хомута:</t>
  </si>
  <si>
    <t>- 150 мм без снятия с места</t>
  </si>
  <si>
    <t xml:space="preserve"> - 100 мм со снятием с места</t>
  </si>
  <si>
    <t xml:space="preserve"> - 100 мм без снятия с места</t>
  </si>
  <si>
    <t>- 150 мм со снятием с места</t>
  </si>
  <si>
    <t xml:space="preserve">- 15-25 мм </t>
  </si>
  <si>
    <t xml:space="preserve">- 40-100 мм </t>
  </si>
  <si>
    <t>Технический осмотр систем отопления, ХВС, ГВС и приборов</t>
  </si>
  <si>
    <t>1 чел.</t>
  </si>
  <si>
    <t>Промывка систем отопления (радиаторов):</t>
  </si>
  <si>
    <t>ГЭСНр 65-18-5</t>
  </si>
  <si>
    <t>ГЭСНр 65-18-6</t>
  </si>
  <si>
    <t>Приложение к приказу №___ от "___"______________2014г.</t>
  </si>
  <si>
    <t xml:space="preserve">сверление отверстий  </t>
  </si>
  <si>
    <t>2.15</t>
  </si>
  <si>
    <t>2.16</t>
  </si>
  <si>
    <t>2.17</t>
  </si>
  <si>
    <t>2.18</t>
  </si>
  <si>
    <t>2.19</t>
  </si>
  <si>
    <t>2.20</t>
  </si>
  <si>
    <t>ГЭСНм 08-02-399</t>
  </si>
  <si>
    <t>ГЭСНм 08-03-601-01</t>
  </si>
  <si>
    <t>ГЭСНм 08-03-592-01</t>
  </si>
  <si>
    <t>МДК 12-02.01</t>
  </si>
  <si>
    <t>регулировка смывного бачка</t>
  </si>
  <si>
    <t>3 прибор</t>
  </si>
  <si>
    <t>4 прибор</t>
  </si>
  <si>
    <t>5 прибор</t>
  </si>
  <si>
    <t>6 прибор</t>
  </si>
  <si>
    <t>7 прибор</t>
  </si>
  <si>
    <t>подключение стиральной машинки (установка трехходового крана)</t>
  </si>
  <si>
    <t>смена чугунных канал-х труб Ф100 мм (без учёта стоимости труб и фас.ч.)</t>
  </si>
  <si>
    <t>сопротивления изоляции кабельных линий</t>
  </si>
  <si>
    <t>сопротивления изоляции обмотки машин и аппаратов</t>
  </si>
  <si>
    <t>проверка наличия цепи между заземлением и заземляюшими элементами</t>
  </si>
  <si>
    <t>определение  удельного сопротивления грунта</t>
  </si>
  <si>
    <t>устранение засоров канализации в квартире (кроме коммунальных), унитазов</t>
  </si>
  <si>
    <t>1.44</t>
  </si>
  <si>
    <t>Переборка секций радиатоного блока</t>
  </si>
  <si>
    <t>2 шт</t>
  </si>
  <si>
    <t>3 шт</t>
  </si>
  <si>
    <t>4 шт</t>
  </si>
  <si>
    <t>5 шт</t>
  </si>
  <si>
    <t>6 шт</t>
  </si>
  <si>
    <t>7 шт</t>
  </si>
  <si>
    <t>8 шт</t>
  </si>
  <si>
    <t>9 шт</t>
  </si>
  <si>
    <t>10 шт</t>
  </si>
  <si>
    <t>11 шт</t>
  </si>
  <si>
    <t>12 шт</t>
  </si>
  <si>
    <t>13 шт</t>
  </si>
  <si>
    <t>14 шт</t>
  </si>
  <si>
    <t>15 шт</t>
  </si>
  <si>
    <t>16 шт</t>
  </si>
  <si>
    <t>17 шт</t>
  </si>
  <si>
    <t>18 шт</t>
  </si>
  <si>
    <t>19 шт</t>
  </si>
  <si>
    <t>1секция</t>
  </si>
  <si>
    <t>ЦНИС 2.2.2.1</t>
  </si>
  <si>
    <t>1.45</t>
  </si>
  <si>
    <t>Вывертывание, ввертование радиаторных пробок. Присоединение секций к радиаторному блоку.</t>
  </si>
  <si>
    <t>Отключение, подключение потребителей электроэнергии, подключенных к ВДС жилого фонда</t>
  </si>
  <si>
    <t>1 подключение, отключение</t>
  </si>
  <si>
    <t>Замена электросчетчика</t>
  </si>
  <si>
    <t>кабель ВВГ 3х4</t>
  </si>
  <si>
    <t>Внеочередная опломбировка счетчика</t>
  </si>
  <si>
    <t>1услуга</t>
  </si>
  <si>
    <t xml:space="preserve">Демонтаж смывного бачка: </t>
  </si>
  <si>
    <t>ГЭСНр 65-4-8</t>
  </si>
  <si>
    <t>ГЭСНр 65-4-10</t>
  </si>
  <si>
    <t>ГЭСНр 65-6-9</t>
  </si>
  <si>
    <t>Установка смывного бачка</t>
  </si>
  <si>
    <t>Демонтаж унитаза</t>
  </si>
  <si>
    <t>2 прибор</t>
  </si>
  <si>
    <t>ГЭСНр 65-4-2</t>
  </si>
  <si>
    <t>Установка унитаза*</t>
  </si>
  <si>
    <t xml:space="preserve"> -диаметром 25мм</t>
  </si>
  <si>
    <t>ГЭСНр 65-10-1</t>
  </si>
  <si>
    <t>прочистка трубопроводов от сифона до стояка</t>
  </si>
  <si>
    <t>Замена трубопроводов канализационных чугунных труб</t>
  </si>
  <si>
    <t>ГЭСНр 65-20-1</t>
  </si>
  <si>
    <t>ГЭСНр 65-20-2</t>
  </si>
  <si>
    <t>ГЭСНр 65-20-3</t>
  </si>
  <si>
    <t>ГЭСНр 65-18-1</t>
  </si>
  <si>
    <t>ГЭСНр 65-18-2</t>
  </si>
  <si>
    <t>ГЭСНр 65-18-3</t>
  </si>
  <si>
    <t>ГЭСНр 65-18-4</t>
  </si>
  <si>
    <t xml:space="preserve">Ремонт задвижек: </t>
  </si>
  <si>
    <t>ГЭСНр 69-2-1;2;3;4;5;6</t>
  </si>
  <si>
    <t>Замена радиаторных блоков:</t>
  </si>
  <si>
    <t>Замена задвижки:</t>
  </si>
  <si>
    <t>Ремонт радиаторов:</t>
  </si>
  <si>
    <t>ГЭСНр 65-22-1</t>
  </si>
  <si>
    <t>ГЭСНр 65-22-2</t>
  </si>
  <si>
    <t>ГЭСНр 65-22-3</t>
  </si>
  <si>
    <t>прочистка сифонов и участков трубопровода от сантехприбора до стояка:</t>
  </si>
  <si>
    <t xml:space="preserve"> 1.1  </t>
  </si>
  <si>
    <t>Замена унитаза типа "Компакт"*</t>
  </si>
  <si>
    <t xml:space="preserve"> 1.6.1</t>
  </si>
  <si>
    <t>1.15.1</t>
  </si>
  <si>
    <t>1.16</t>
  </si>
  <si>
    <t>1.17</t>
  </si>
  <si>
    <t>1.18</t>
  </si>
  <si>
    <t>1.20</t>
  </si>
  <si>
    <t>1.21</t>
  </si>
  <si>
    <t>1.22</t>
  </si>
  <si>
    <t>1.23</t>
  </si>
  <si>
    <t>1.24</t>
  </si>
  <si>
    <t>1.25</t>
  </si>
  <si>
    <t>Пробивка отверстий</t>
  </si>
  <si>
    <t>1.26</t>
  </si>
  <si>
    <t>1.27</t>
  </si>
  <si>
    <t>1.29</t>
  </si>
  <si>
    <t>1.30</t>
  </si>
  <si>
    <t>МО г.Заполярный</t>
  </si>
  <si>
    <t>замена автоматического выключателя или автомата</t>
  </si>
  <si>
    <t>ГЭСНм 08-03-526</t>
  </si>
  <si>
    <t xml:space="preserve">  2.5</t>
  </si>
  <si>
    <t>сопротивления цепи "фаза-ноль"</t>
  </si>
  <si>
    <t xml:space="preserve">Прейскурант стоимости работ, выполняемых МКП за счёт средств потребителей </t>
  </si>
  <si>
    <t>Раздел 1 - слесарные работы</t>
  </si>
  <si>
    <t>Стоимость работ       без НДС, руб.</t>
  </si>
  <si>
    <t>Стоимость дополнительных  работ МКП "Жилищное хозяйство", МО гп Печенга выполняемые за счёт средств потребителей</t>
  </si>
  <si>
    <t>Стоимость услуг, оказываемых МКП "Жилищное Хозяйство" сторонним потребителям</t>
  </si>
  <si>
    <t>Сопротивления цепи "фаза-ноль"</t>
  </si>
  <si>
    <t>РАЗДЕЛ №2</t>
  </si>
  <si>
    <t>Работы не предусмотренные реестром рассчитываются отдельно на основании заявок.</t>
  </si>
  <si>
    <r>
      <t xml:space="preserve">Директор МКП "Жилищное хозяйство"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С.В.Кучин</t>
    </r>
  </si>
  <si>
    <t xml:space="preserve">Приложение </t>
  </si>
  <si>
    <t xml:space="preserve"> городское поселение Печенга</t>
  </si>
  <si>
    <t>от                апреля 2016 года №</t>
  </si>
  <si>
    <t>к решению Совета депутатов муниципального образования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</si>
</sst>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mmm/yyyy"/>
    <numFmt numFmtId="184" formatCode="0.0000"/>
    <numFmt numFmtId="185" formatCode="0.0E+00"/>
    <numFmt numFmtId="186" formatCode="0.000E+00"/>
    <numFmt numFmtId="187" formatCode="0.0000E+00"/>
    <numFmt numFmtId="188" formatCode="0.00000E+00"/>
    <numFmt numFmtId="189" formatCode="0.000000"/>
    <numFmt numFmtId="190" formatCode="0.00000"/>
    <numFmt numFmtId="191" formatCode="[$-FC19]d\ mmmm\ yyyy\ &quot;г.&quot;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ourier"/>
      <family val="3"/>
    </font>
    <font>
      <sz val="6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53" applyFont="1" applyAlignment="1">
      <alignment horizontal="right" vertical="center"/>
      <protection/>
    </xf>
    <xf numFmtId="0" fontId="11" fillId="0" borderId="0" xfId="53" applyFont="1" applyAlignment="1">
      <alignment horizontal="center" vertical="center"/>
      <protection/>
    </xf>
    <xf numFmtId="0" fontId="12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" fillId="0" borderId="0" xfId="53" applyFont="1" applyAlignment="1">
      <alignment horizontal="right" vertical="center"/>
      <protection/>
    </xf>
    <xf numFmtId="180" fontId="2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9" fontId="14" fillId="0" borderId="18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14" fillId="0" borderId="0" xfId="0" applyFont="1" applyAlignment="1">
      <alignment horizontal="left"/>
    </xf>
    <xf numFmtId="180" fontId="14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vertical="center"/>
    </xf>
    <xf numFmtId="179" fontId="3" fillId="0" borderId="10" xfId="61" applyFont="1" applyBorder="1" applyAlignment="1">
      <alignment horizontal="center" vertical="center" wrapText="1"/>
    </xf>
    <xf numFmtId="179" fontId="3" fillId="0" borderId="10" xfId="6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distributed" wrapText="1"/>
    </xf>
    <xf numFmtId="2" fontId="3" fillId="0" borderId="10" xfId="0" applyNumberFormat="1" applyFont="1" applyBorder="1" applyAlignment="1">
      <alignment horizontal="left" vertical="center" wrapText="1" indent="1"/>
    </xf>
    <xf numFmtId="49" fontId="10" fillId="0" borderId="10" xfId="0" applyNumberFormat="1" applyFont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vertical="center" wrapText="1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distributed"/>
    </xf>
    <xf numFmtId="0" fontId="11" fillId="35" borderId="10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26" fillId="0" borderId="0" xfId="0" applyFont="1" applyAlignment="1">
      <alignment/>
    </xf>
    <xf numFmtId="18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82" fontId="3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. Автотранспо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&#1050;&#1072;&#1083;&#1100;&#1082;&#1091;&#1083;&#1103;&#1094;&#1080;&#1080;%20&#1058;&#1042;&#1050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56;&#1072;&#1079;&#1076;&#1077;&#1083;%20&#8470;3.%20&#1050;&#1072;&#1083;&#1100;&#1082;&#1091;&#1083;&#1103;&#1094;&#1080;&#1080;%20&#1101;&#1083;.&#1089;&#1083;&#1091;&#1078;&#1073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86;&#1084;&#1073;&#1080;&#1088;&#1086;&#1074;&#1082;&#1072;%20&#1089;&#1095;&#1077;&#1090;&#1095;&#1080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%20&#1056;&#1072;&#1089;&#1095;&#1077;&#1090;%20&#1087;&#1086;&#1076;&#1082;&#1083;.%20&#1101;&#1083;&#1077;&#1082;&#1090;.-&#1087;&#1088;&#1080;&#1077;&#1084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76;&#1077;&#1083;&#847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еестр"/>
      <sheetName val="Слесарь"/>
      <sheetName val="Слесарь АВР"/>
      <sheetName val="Сварщик"/>
      <sheetName val="Изолировщик"/>
      <sheetName val="Токарь"/>
      <sheetName val="Компрессор"/>
      <sheetName val="компрессорщик"/>
      <sheetName val="промывка"/>
      <sheetName val="СЗТ"/>
      <sheetName val="прочистка"/>
      <sheetName val="задвижка до100"/>
      <sheetName val="задвижка до150"/>
      <sheetName val="задвижка до200"/>
      <sheetName val="кран спускной"/>
      <sheetName val="сопло (2)"/>
      <sheetName val="вентиль до 32 "/>
      <sheetName val="вентиль до 50  (2)"/>
    </sheetNames>
    <sheetDataSet>
      <sheetData sheetId="12">
        <row r="21">
          <cell r="E21">
            <v>3.024</v>
          </cell>
        </row>
      </sheetData>
      <sheetData sheetId="13">
        <row r="21">
          <cell r="E21">
            <v>3.781</v>
          </cell>
        </row>
      </sheetData>
      <sheetData sheetId="14">
        <row r="21">
          <cell r="E21">
            <v>5.037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Реестр"/>
      <sheetName val="электромонтёр"/>
      <sheetName val="Слесарь КИП и А"/>
      <sheetName val="материалы"/>
      <sheetName val="материалы (2)"/>
      <sheetName val="электомонтаж.работы"/>
    </sheetNames>
    <sheetDataSet>
      <sheetData sheetId="1">
        <row r="22">
          <cell r="E22">
            <v>142.3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омбировка счетчика"/>
    </sheetNames>
    <sheetDataSet>
      <sheetData sheetId="0">
        <row r="38">
          <cell r="E38">
            <v>197.11958846818348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дключение к ШВ 0,4кВ"/>
      <sheetName val="Подключние к ЭВДС"/>
      <sheetName val="замена счетчика"/>
      <sheetName val="замена счетчика (2)"/>
      <sheetName val="замена счетчика (3)"/>
      <sheetName val="кровля2010"/>
      <sheetName val="ЛисТ 2 (2)"/>
      <sheetName val="ЛисТ 2 (3)"/>
      <sheetName val="ЛисТ 2 (4)"/>
    </sheetNames>
    <sheetDataSet>
      <sheetData sheetId="0">
        <row r="57">
          <cell r="E57">
            <v>748.7753392403756</v>
          </cell>
        </row>
      </sheetData>
      <sheetData sheetId="1">
        <row r="59">
          <cell r="E59">
            <v>949.2859054158783</v>
          </cell>
        </row>
      </sheetData>
      <sheetData sheetId="2">
        <row r="56">
          <cell r="E56">
            <v>715.66326040065</v>
          </cell>
        </row>
      </sheetData>
      <sheetData sheetId="3">
        <row r="58">
          <cell r="E58">
            <v>1609.9438789387211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1"/>
    </sheetNames>
    <sheetDataSet>
      <sheetData sheetId="0">
        <row r="31">
          <cell r="I31">
            <v>421.4</v>
          </cell>
        </row>
        <row r="32">
          <cell r="I32">
            <v>468.7</v>
          </cell>
        </row>
        <row r="42">
          <cell r="I42">
            <v>582.9</v>
          </cell>
        </row>
        <row r="58">
          <cell r="I58">
            <v>421.61</v>
          </cell>
        </row>
        <row r="61">
          <cell r="I61">
            <v>379.72</v>
          </cell>
        </row>
        <row r="135">
          <cell r="I135">
            <v>159.9</v>
          </cell>
        </row>
        <row r="136">
          <cell r="I136">
            <v>159.9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714"/>
  <sheetViews>
    <sheetView tabSelected="1" view="pageBreakPreview" zoomScaleSheetLayoutView="100" zoomScalePageLayoutView="0" workbookViewId="0" topLeftCell="A2">
      <selection activeCell="S16" sqref="S16"/>
    </sheetView>
  </sheetViews>
  <sheetFormatPr defaultColWidth="9.140625" defaultRowHeight="12.75" customHeight="1" outlineLevelRow="3" outlineLevelCol="1"/>
  <cols>
    <col min="1" max="1" width="7.8515625" style="1" customWidth="1"/>
    <col min="2" max="2" width="61.8515625" style="8" customWidth="1"/>
    <col min="3" max="3" width="20.00390625" style="9" hidden="1" customWidth="1" outlineLevel="1"/>
    <col min="4" max="4" width="6.421875" style="4" hidden="1" customWidth="1" outlineLevel="1"/>
    <col min="5" max="5" width="8.57421875" style="10" hidden="1" customWidth="1" outlineLevel="1"/>
    <col min="6" max="6" width="8.7109375" style="11" hidden="1" customWidth="1" outlineLevel="1"/>
    <col min="7" max="7" width="10.7109375" style="1" customWidth="1" collapsed="1"/>
    <col min="8" max="8" width="15.7109375" style="4" hidden="1" customWidth="1" outlineLevel="1"/>
    <col min="9" max="9" width="7.140625" style="4" hidden="1" customWidth="1" outlineLevel="1"/>
    <col min="10" max="10" width="6.140625" style="4" hidden="1" customWidth="1" outlineLevel="1"/>
    <col min="11" max="11" width="7.140625" style="4" hidden="1" customWidth="1" outlineLevel="1"/>
    <col min="12" max="12" width="9.28125" style="4" hidden="1" customWidth="1" outlineLevel="1"/>
    <col min="13" max="13" width="12.00390625" style="1" customWidth="1" collapsed="1"/>
    <col min="14" max="14" width="12.421875" style="6" hidden="1" customWidth="1"/>
    <col min="15" max="15" width="10.57421875" style="7" customWidth="1"/>
    <col min="16" max="16384" width="9.140625" style="2" customWidth="1"/>
  </cols>
  <sheetData>
    <row r="1" ht="17.25" customHeight="1" hidden="1" outlineLevel="1">
      <c r="N1" s="44" t="s">
        <v>986</v>
      </c>
    </row>
    <row r="2" spans="7:14" ht="12.75" customHeight="1" collapsed="1">
      <c r="G2" s="57"/>
      <c r="N2" s="44"/>
    </row>
    <row r="3" spans="1:16" ht="12.75" customHeight="1" hidden="1">
      <c r="A3" s="170"/>
      <c r="B3" s="170"/>
      <c r="C3" s="170"/>
      <c r="D3" s="49"/>
      <c r="E3" s="50"/>
      <c r="F3" s="51"/>
      <c r="G3" s="49"/>
      <c r="H3" s="49"/>
      <c r="I3" s="49"/>
      <c r="J3" s="49"/>
      <c r="K3" s="49"/>
      <c r="L3" s="49"/>
      <c r="M3" s="49"/>
      <c r="N3" s="52" t="s">
        <v>429</v>
      </c>
      <c r="O3" s="3"/>
      <c r="P3" s="3"/>
    </row>
    <row r="4" spans="1:16" ht="12.75" customHeight="1" hidden="1">
      <c r="A4" s="116"/>
      <c r="B4" s="73"/>
      <c r="D4" s="49"/>
      <c r="E4" s="50"/>
      <c r="F4" s="51"/>
      <c r="G4" s="49"/>
      <c r="H4" s="49"/>
      <c r="I4" s="49"/>
      <c r="J4" s="49"/>
      <c r="K4" s="49"/>
      <c r="L4" s="49"/>
      <c r="M4" s="49"/>
      <c r="N4" s="52"/>
      <c r="O4" s="3"/>
      <c r="P4" s="3"/>
    </row>
    <row r="5" spans="1:14" ht="12.75" customHeight="1" hidden="1">
      <c r="A5" s="116"/>
      <c r="B5" s="73"/>
      <c r="N5" s="44" t="s">
        <v>765</v>
      </c>
    </row>
    <row r="6" spans="1:14" ht="12.75" customHeight="1" hidden="1">
      <c r="A6" s="116"/>
      <c r="B6" s="116"/>
      <c r="G6" s="162" t="s">
        <v>1088</v>
      </c>
      <c r="H6" s="163"/>
      <c r="I6" s="163"/>
      <c r="J6" s="163"/>
      <c r="K6" s="163"/>
      <c r="L6" s="163"/>
      <c r="M6" s="163"/>
      <c r="N6" s="163"/>
    </row>
    <row r="7" spans="1:14" ht="15.75" customHeight="1" hidden="1">
      <c r="A7" s="48"/>
      <c r="B7" s="72"/>
      <c r="N7" s="44" t="s">
        <v>537</v>
      </c>
    </row>
    <row r="8" spans="1:14" ht="15" customHeight="1" hidden="1">
      <c r="A8" s="73"/>
      <c r="B8" s="73"/>
      <c r="G8" s="171"/>
      <c r="H8" s="172"/>
      <c r="I8" s="172"/>
      <c r="J8" s="172"/>
      <c r="K8" s="172"/>
      <c r="L8" s="172"/>
      <c r="M8" s="172"/>
      <c r="N8" s="172"/>
    </row>
    <row r="9" spans="1:14" ht="15" customHeight="1">
      <c r="A9" s="116"/>
      <c r="B9" s="184"/>
      <c r="C9" s="185"/>
      <c r="D9" s="186"/>
      <c r="E9" s="187"/>
      <c r="F9" s="188"/>
      <c r="G9" s="189" t="s">
        <v>1102</v>
      </c>
      <c r="H9" s="124"/>
      <c r="I9" s="124"/>
      <c r="J9" s="124"/>
      <c r="K9" s="124"/>
      <c r="L9" s="124"/>
      <c r="N9" s="124"/>
    </row>
    <row r="10" spans="1:14" ht="20.25" customHeight="1">
      <c r="A10" s="182" t="s">
        <v>1105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24"/>
    </row>
    <row r="11" spans="1:14" ht="9" customHeight="1">
      <c r="A11" s="182" t="s">
        <v>1103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45"/>
    </row>
    <row r="12" spans="2:14" ht="24" customHeight="1">
      <c r="B12" s="183" t="s">
        <v>1104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44"/>
    </row>
    <row r="13" spans="1:14" ht="6" customHeight="1">
      <c r="A13" s="167" t="s">
        <v>103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29.25" customHeight="1">
      <c r="A14" s="167" t="s">
        <v>1096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ht="16.5" customHeight="1">
      <c r="G15" s="114"/>
    </row>
    <row r="16" spans="1:14" ht="12.75" customHeight="1">
      <c r="A16" s="168" t="s">
        <v>17</v>
      </c>
      <c r="B16" s="169" t="s">
        <v>18</v>
      </c>
      <c r="C16" s="169" t="s">
        <v>30</v>
      </c>
      <c r="D16" s="169"/>
      <c r="E16" s="169"/>
      <c r="F16" s="169"/>
      <c r="G16" s="168" t="s">
        <v>19</v>
      </c>
      <c r="H16" s="168" t="s">
        <v>37</v>
      </c>
      <c r="I16" s="164" t="s">
        <v>25</v>
      </c>
      <c r="J16" s="165"/>
      <c r="K16" s="165"/>
      <c r="L16" s="166"/>
      <c r="M16" s="168" t="s">
        <v>1095</v>
      </c>
      <c r="N16" s="177" t="s">
        <v>763</v>
      </c>
    </row>
    <row r="17" spans="1:14" ht="52.5" customHeight="1">
      <c r="A17" s="168"/>
      <c r="B17" s="169"/>
      <c r="C17" s="14" t="s">
        <v>34</v>
      </c>
      <c r="D17" s="13" t="s">
        <v>36</v>
      </c>
      <c r="E17" s="16" t="s">
        <v>71</v>
      </c>
      <c r="F17" s="32" t="s">
        <v>35</v>
      </c>
      <c r="G17" s="168"/>
      <c r="H17" s="168"/>
      <c r="I17" s="13" t="s">
        <v>22</v>
      </c>
      <c r="J17" s="13" t="s">
        <v>21</v>
      </c>
      <c r="K17" s="13" t="s">
        <v>24</v>
      </c>
      <c r="L17" s="13" t="s">
        <v>534</v>
      </c>
      <c r="M17" s="168"/>
      <c r="N17" s="177"/>
    </row>
    <row r="18" spans="1:14" ht="12.75" customHeight="1">
      <c r="A18" s="18">
        <v>1</v>
      </c>
      <c r="B18" s="18" t="s">
        <v>430</v>
      </c>
      <c r="C18" s="18" t="s">
        <v>431</v>
      </c>
      <c r="D18" s="18">
        <v>4</v>
      </c>
      <c r="E18" s="18">
        <v>5</v>
      </c>
      <c r="F18" s="19">
        <v>6</v>
      </c>
      <c r="G18" s="18">
        <v>7</v>
      </c>
      <c r="H18" s="18"/>
      <c r="I18" s="18"/>
      <c r="J18" s="18"/>
      <c r="K18" s="18"/>
      <c r="L18" s="18"/>
      <c r="M18" s="18">
        <v>8</v>
      </c>
      <c r="N18" s="18">
        <v>9</v>
      </c>
    </row>
    <row r="19" spans="1:14" ht="12.75" customHeight="1">
      <c r="A19" s="20"/>
      <c r="B19" s="21"/>
      <c r="C19" s="22"/>
      <c r="D19" s="23"/>
      <c r="E19" s="16"/>
      <c r="F19" s="32"/>
      <c r="G19" s="13"/>
      <c r="H19" s="13"/>
      <c r="I19" s="13"/>
      <c r="J19" s="13"/>
      <c r="K19" s="13"/>
      <c r="L19" s="13" t="s">
        <v>103</v>
      </c>
      <c r="M19" s="20"/>
      <c r="N19" s="24"/>
    </row>
    <row r="20" spans="1:25" s="3" customFormat="1" ht="15.75" customHeight="1" outlineLevel="1">
      <c r="A20" s="25">
        <v>1</v>
      </c>
      <c r="B20" s="26" t="s">
        <v>0</v>
      </c>
      <c r="C20" s="27"/>
      <c r="D20" s="28"/>
      <c r="E20" s="29"/>
      <c r="F20" s="41"/>
      <c r="G20" s="28"/>
      <c r="H20" s="28"/>
      <c r="I20" s="28"/>
      <c r="J20" s="28"/>
      <c r="K20" s="30"/>
      <c r="L20" s="28"/>
      <c r="M20" s="25"/>
      <c r="N20" s="31"/>
      <c r="O20" s="42"/>
      <c r="P20" s="53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1:25" ht="24" customHeight="1" outlineLevel="1">
      <c r="A21" s="60" t="s">
        <v>649</v>
      </c>
      <c r="B21" s="21" t="s">
        <v>1010</v>
      </c>
      <c r="C21" s="22"/>
      <c r="D21" s="13"/>
      <c r="E21" s="16"/>
      <c r="F21" s="32"/>
      <c r="G21" s="13" t="s">
        <v>52</v>
      </c>
      <c r="H21" s="13" t="s">
        <v>997</v>
      </c>
      <c r="I21" s="17">
        <v>0.69</v>
      </c>
      <c r="J21" s="15">
        <v>1</v>
      </c>
      <c r="K21" s="17">
        <f>I21*J21</f>
        <v>0.69</v>
      </c>
      <c r="L21" s="15">
        <f>'[5]Раздел №1'!$I$42</f>
        <v>582.9</v>
      </c>
      <c r="M21" s="24">
        <f>K21*L21</f>
        <v>402.2</v>
      </c>
      <c r="N21" s="24">
        <f>SUM(N22:N23)</f>
        <v>15.1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</row>
    <row r="22" spans="1:25" ht="21" customHeight="1" hidden="1" outlineLevel="2">
      <c r="A22" s="20"/>
      <c r="B22" s="21"/>
      <c r="C22" s="22" t="s">
        <v>31</v>
      </c>
      <c r="D22" s="13" t="s">
        <v>33</v>
      </c>
      <c r="E22" s="16">
        <f>5/100</f>
        <v>0.05</v>
      </c>
      <c r="F22" s="17">
        <f>73167.31/1120*1.18*1.096*1.074*1.118*1.25*1.091*1.078*1.077*1.08</f>
        <v>173.47</v>
      </c>
      <c r="G22" s="13"/>
      <c r="H22" s="13" t="s">
        <v>53</v>
      </c>
      <c r="I22" s="17"/>
      <c r="J22" s="15"/>
      <c r="K22" s="17"/>
      <c r="L22" s="15"/>
      <c r="M22" s="24"/>
      <c r="N22" s="24">
        <f>E22*F22</f>
        <v>8.7</v>
      </c>
      <c r="O22" s="7" t="s">
        <v>432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</row>
    <row r="23" spans="1:25" ht="19.5" customHeight="1" hidden="1" outlineLevel="2">
      <c r="A23" s="20"/>
      <c r="B23" s="21"/>
      <c r="C23" s="22" t="s">
        <v>32</v>
      </c>
      <c r="D23" s="13" t="s">
        <v>33</v>
      </c>
      <c r="E23" s="16">
        <f>2/100</f>
        <v>0.02</v>
      </c>
      <c r="F23" s="17">
        <f>120.23*1.096*1.074*1.25*1.18*1.118*1.091*1.078*1.077*1.08</f>
        <v>319.26</v>
      </c>
      <c r="G23" s="13"/>
      <c r="H23" s="13" t="s">
        <v>53</v>
      </c>
      <c r="I23" s="17"/>
      <c r="J23" s="15"/>
      <c r="K23" s="17"/>
      <c r="L23" s="15"/>
      <c r="M23" s="24" t="s">
        <v>103</v>
      </c>
      <c r="N23" s="24">
        <f>E23*F23</f>
        <v>6.4</v>
      </c>
      <c r="O23" s="7" t="s">
        <v>465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</row>
    <row r="24" spans="1:25" ht="16.5" customHeight="1" outlineLevel="1" collapsed="1">
      <c r="A24" s="20" t="s">
        <v>650</v>
      </c>
      <c r="B24" s="21" t="s">
        <v>1</v>
      </c>
      <c r="C24" s="22"/>
      <c r="D24" s="13"/>
      <c r="E24" s="16"/>
      <c r="F24" s="32"/>
      <c r="G24" s="13"/>
      <c r="H24" s="13"/>
      <c r="I24" s="17"/>
      <c r="J24" s="15"/>
      <c r="K24" s="17"/>
      <c r="L24" s="15"/>
      <c r="M24" s="24"/>
      <c r="N24" s="24"/>
      <c r="P24" s="122"/>
      <c r="Q24" s="122"/>
      <c r="R24" s="122"/>
      <c r="S24" s="122"/>
      <c r="T24" s="122"/>
      <c r="U24" s="122"/>
      <c r="V24" s="122"/>
      <c r="W24" s="122"/>
      <c r="X24" s="122"/>
      <c r="Y24" s="122"/>
    </row>
    <row r="25" spans="1:25" ht="15" customHeight="1" outlineLevel="1">
      <c r="A25" s="20"/>
      <c r="B25" s="21" t="s">
        <v>26</v>
      </c>
      <c r="C25" s="22"/>
      <c r="D25" s="13"/>
      <c r="E25" s="16"/>
      <c r="F25" s="32"/>
      <c r="G25" s="13" t="s">
        <v>23</v>
      </c>
      <c r="H25" s="13" t="s">
        <v>28</v>
      </c>
      <c r="I25" s="17">
        <v>0.34</v>
      </c>
      <c r="J25" s="15">
        <v>1</v>
      </c>
      <c r="K25" s="17">
        <f>I25*J25</f>
        <v>0.34</v>
      </c>
      <c r="L25" s="15">
        <f>'[5]Раздел №1'!$I$42</f>
        <v>582.9</v>
      </c>
      <c r="M25" s="24">
        <f>K25*L25</f>
        <v>198.2</v>
      </c>
      <c r="N25" s="24">
        <f>SUM(N26:N28)</f>
        <v>111.9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</row>
    <row r="26" spans="1:25" ht="12.75" customHeight="1" hidden="1" outlineLevel="2">
      <c r="A26" s="20"/>
      <c r="B26" s="21"/>
      <c r="C26" s="22" t="s">
        <v>38</v>
      </c>
      <c r="D26" s="13" t="s">
        <v>33</v>
      </c>
      <c r="E26" s="16">
        <v>0.01</v>
      </c>
      <c r="F26" s="17">
        <f>142.03*1.18*1.096*1.074*1.25*1.118*1.091*1.078*1.077*1.08</f>
        <v>377.15</v>
      </c>
      <c r="G26" s="13"/>
      <c r="H26" s="13" t="s">
        <v>49</v>
      </c>
      <c r="I26" s="17"/>
      <c r="J26" s="15"/>
      <c r="K26" s="17"/>
      <c r="L26" s="15">
        <f>'[5]Раздел №1'!$I$42</f>
        <v>582.9</v>
      </c>
      <c r="M26" s="24"/>
      <c r="N26" s="24">
        <f>E26*F26</f>
        <v>3.8</v>
      </c>
      <c r="O26" s="7" t="s">
        <v>433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  <row r="27" spans="1:25" ht="12.75" customHeight="1" hidden="1" outlineLevel="2">
      <c r="A27" s="20"/>
      <c r="B27" s="21"/>
      <c r="C27" s="22" t="s">
        <v>39</v>
      </c>
      <c r="D27" s="13" t="s">
        <v>41</v>
      </c>
      <c r="E27" s="16">
        <v>1</v>
      </c>
      <c r="F27" s="17">
        <f>43581.7/1000*1.096*1.25*1.18*1.118*1.091*1.078*1.077*1.08</f>
        <v>107.75</v>
      </c>
      <c r="G27" s="13"/>
      <c r="H27" s="13" t="s">
        <v>49</v>
      </c>
      <c r="I27" s="17"/>
      <c r="J27" s="15"/>
      <c r="K27" s="17"/>
      <c r="L27" s="15">
        <f>'[5]Раздел №1'!$I$42</f>
        <v>582.9</v>
      </c>
      <c r="M27" s="24"/>
      <c r="N27" s="24">
        <f>E27*F27</f>
        <v>107.8</v>
      </c>
      <c r="O27" s="7" t="s">
        <v>452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</row>
    <row r="28" spans="1:25" ht="12.75" customHeight="1" hidden="1" outlineLevel="2">
      <c r="A28" s="20"/>
      <c r="B28" s="21"/>
      <c r="C28" s="22" t="s">
        <v>40</v>
      </c>
      <c r="D28" s="13" t="s">
        <v>33</v>
      </c>
      <c r="E28" s="16">
        <v>0.002</v>
      </c>
      <c r="F28" s="17">
        <f>48360.81/1010*1.089*1.096*1.074*1.25*1.18*1.118*1.091*1.078*1.077*1.08</f>
        <v>138.46</v>
      </c>
      <c r="G28" s="13"/>
      <c r="H28" s="13" t="s">
        <v>49</v>
      </c>
      <c r="I28" s="17"/>
      <c r="J28" s="15"/>
      <c r="K28" s="17"/>
      <c r="L28" s="15">
        <f>'[5]Раздел №1'!$I$42</f>
        <v>582.9</v>
      </c>
      <c r="M28" s="24"/>
      <c r="N28" s="24">
        <f>E28*F28</f>
        <v>0.3</v>
      </c>
      <c r="O28" s="7" t="s">
        <v>453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</row>
    <row r="29" spans="1:25" ht="15.75" customHeight="1" outlineLevel="1" collapsed="1">
      <c r="A29" s="20"/>
      <c r="B29" s="21" t="s">
        <v>27</v>
      </c>
      <c r="C29" s="22"/>
      <c r="D29" s="13"/>
      <c r="E29" s="16"/>
      <c r="F29" s="32"/>
      <c r="G29" s="13" t="s">
        <v>23</v>
      </c>
      <c r="H29" s="13" t="s">
        <v>29</v>
      </c>
      <c r="I29" s="17">
        <v>0.42</v>
      </c>
      <c r="J29" s="15">
        <v>1</v>
      </c>
      <c r="K29" s="17">
        <f>I29*J29</f>
        <v>0.42</v>
      </c>
      <c r="L29" s="15">
        <f>'[5]Раздел №1'!$I$42</f>
        <v>582.9</v>
      </c>
      <c r="M29" s="24">
        <f>K29*L29</f>
        <v>244.8</v>
      </c>
      <c r="N29" s="24">
        <f>SUM(N30:N32)</f>
        <v>111.9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1:25" ht="12.75" customHeight="1" hidden="1" outlineLevel="2">
      <c r="A30" s="20"/>
      <c r="B30" s="21"/>
      <c r="C30" s="22" t="s">
        <v>38</v>
      </c>
      <c r="D30" s="13" t="s">
        <v>33</v>
      </c>
      <c r="E30" s="16">
        <v>0.01</v>
      </c>
      <c r="F30" s="17">
        <f>142.03*1.18*1.096*1.074*1.25*1.118*1.091*1.078*1.077*1.08</f>
        <v>377.15</v>
      </c>
      <c r="G30" s="13"/>
      <c r="H30" s="13" t="s">
        <v>49</v>
      </c>
      <c r="I30" s="17"/>
      <c r="J30" s="15"/>
      <c r="K30" s="17"/>
      <c r="L30" s="15"/>
      <c r="M30" s="24"/>
      <c r="N30" s="24">
        <f>E30*F30</f>
        <v>3.8</v>
      </c>
      <c r="O30" s="7" t="s">
        <v>433</v>
      </c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spans="1:25" ht="12.75" customHeight="1" hidden="1" outlineLevel="2">
      <c r="A31" s="20"/>
      <c r="B31" s="21"/>
      <c r="C31" s="22" t="s">
        <v>39</v>
      </c>
      <c r="D31" s="13" t="s">
        <v>41</v>
      </c>
      <c r="E31" s="16">
        <v>1</v>
      </c>
      <c r="F31" s="17">
        <f>43581.7/1000*1.096*1.25*1.18*1.118*1.091*1.078*1.077*1.08</f>
        <v>107.75</v>
      </c>
      <c r="G31" s="13"/>
      <c r="H31" s="13" t="s">
        <v>49</v>
      </c>
      <c r="I31" s="17"/>
      <c r="J31" s="15"/>
      <c r="K31" s="17"/>
      <c r="L31" s="15"/>
      <c r="M31" s="24"/>
      <c r="N31" s="24">
        <f>E31*F31</f>
        <v>107.8</v>
      </c>
      <c r="O31" s="7" t="s">
        <v>452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25" ht="12.75" customHeight="1" hidden="1" outlineLevel="2">
      <c r="A32" s="20"/>
      <c r="B32" s="21"/>
      <c r="C32" s="22" t="s">
        <v>40</v>
      </c>
      <c r="D32" s="13" t="s">
        <v>33</v>
      </c>
      <c r="E32" s="16">
        <v>0.002</v>
      </c>
      <c r="F32" s="17">
        <f>48360.81/1010*1.089*1.096*1.074*1.25*1.18*1.118*1.091*1.078*1.077*1.08</f>
        <v>138.46</v>
      </c>
      <c r="G32" s="13"/>
      <c r="H32" s="13" t="s">
        <v>49</v>
      </c>
      <c r="I32" s="17"/>
      <c r="J32" s="15"/>
      <c r="K32" s="17"/>
      <c r="L32" s="15"/>
      <c r="M32" s="24"/>
      <c r="N32" s="24">
        <f>E32*F32</f>
        <v>0.3</v>
      </c>
      <c r="O32" s="7" t="s">
        <v>453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ht="15.75" customHeight="1" outlineLevel="1" collapsed="1">
      <c r="A33" s="20" t="s">
        <v>651</v>
      </c>
      <c r="B33" s="21" t="s">
        <v>42</v>
      </c>
      <c r="C33" s="22"/>
      <c r="D33" s="13"/>
      <c r="E33" s="16"/>
      <c r="F33" s="32"/>
      <c r="G33" s="13"/>
      <c r="H33" s="13"/>
      <c r="I33" s="17"/>
      <c r="J33" s="13"/>
      <c r="K33" s="17"/>
      <c r="L33" s="15"/>
      <c r="M33" s="24"/>
      <c r="N33" s="24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25" ht="14.25" customHeight="1" outlineLevel="1">
      <c r="A34" s="20"/>
      <c r="B34" s="21" t="s">
        <v>43</v>
      </c>
      <c r="C34" s="22"/>
      <c r="D34" s="13"/>
      <c r="E34" s="16"/>
      <c r="F34" s="32"/>
      <c r="G34" s="13" t="s">
        <v>45</v>
      </c>
      <c r="H34" s="13" t="s">
        <v>46</v>
      </c>
      <c r="I34" s="17">
        <f>0.29/2</f>
        <v>0.15</v>
      </c>
      <c r="J34" s="15">
        <v>1</v>
      </c>
      <c r="K34" s="17">
        <f>I34*J34</f>
        <v>0.15</v>
      </c>
      <c r="L34" s="15">
        <f>'[5]Раздел №1'!$I$42</f>
        <v>582.9</v>
      </c>
      <c r="M34" s="24">
        <f>K34*L34</f>
        <v>87.4</v>
      </c>
      <c r="N34" s="24">
        <f>SUM(N35:N36)</f>
        <v>188.2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</row>
    <row r="35" spans="1:25" ht="12.75" customHeight="1" hidden="1" outlineLevel="2">
      <c r="A35" s="20"/>
      <c r="B35" s="21"/>
      <c r="C35" s="22" t="s">
        <v>48</v>
      </c>
      <c r="D35" s="13" t="s">
        <v>41</v>
      </c>
      <c r="E35" s="16">
        <v>1</v>
      </c>
      <c r="F35" s="17">
        <f>70.83*1.18*1.096*1.074*1.25*1.118*1.091*1.078*1.077*1.08</f>
        <v>188.08</v>
      </c>
      <c r="G35" s="13"/>
      <c r="H35" s="13" t="s">
        <v>50</v>
      </c>
      <c r="I35" s="17"/>
      <c r="J35" s="13"/>
      <c r="K35" s="17"/>
      <c r="L35" s="15">
        <f>'[5]Раздел №1'!$I$42</f>
        <v>582.9</v>
      </c>
      <c r="M35" s="24"/>
      <c r="N35" s="24">
        <f>E35*F35</f>
        <v>188.1</v>
      </c>
      <c r="O35" s="7" t="s">
        <v>434</v>
      </c>
      <c r="P35" s="122"/>
      <c r="Q35" s="122"/>
      <c r="R35" s="122"/>
      <c r="S35" s="122"/>
      <c r="T35" s="122"/>
      <c r="U35" s="122"/>
      <c r="V35" s="122"/>
      <c r="W35" s="122"/>
      <c r="X35" s="122"/>
      <c r="Y35" s="122"/>
    </row>
    <row r="36" spans="1:25" ht="12.75" customHeight="1" hidden="1" outlineLevel="2">
      <c r="A36" s="20"/>
      <c r="B36" s="21"/>
      <c r="C36" s="22" t="s">
        <v>40</v>
      </c>
      <c r="D36" s="13" t="s">
        <v>33</v>
      </c>
      <c r="E36" s="16">
        <f>0.002/2</f>
        <v>0.001</v>
      </c>
      <c r="F36" s="17">
        <f>48360.81/1010*1.089*1.096*1.25*1.074*1.18*1.118*1.091*1.078*1.077*1.08</f>
        <v>138.46</v>
      </c>
      <c r="G36" s="13"/>
      <c r="H36" s="13" t="s">
        <v>51</v>
      </c>
      <c r="I36" s="17"/>
      <c r="J36" s="13"/>
      <c r="K36" s="17"/>
      <c r="L36" s="15">
        <f>'[5]Раздел №1'!$I$42</f>
        <v>582.9</v>
      </c>
      <c r="M36" s="24"/>
      <c r="N36" s="24">
        <f>E36*F36</f>
        <v>0.1</v>
      </c>
      <c r="O36" s="7" t="s">
        <v>453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6.5" customHeight="1" outlineLevel="1" collapsed="1">
      <c r="A37" s="20"/>
      <c r="B37" s="21" t="s">
        <v>44</v>
      </c>
      <c r="C37" s="22"/>
      <c r="D37" s="13"/>
      <c r="E37" s="16"/>
      <c r="F37" s="32"/>
      <c r="G37" s="13" t="s">
        <v>45</v>
      </c>
      <c r="H37" s="13" t="s">
        <v>47</v>
      </c>
      <c r="I37" s="17">
        <f>0.21/2</f>
        <v>0.11</v>
      </c>
      <c r="J37" s="15">
        <v>1</v>
      </c>
      <c r="K37" s="17">
        <f>I37*J37</f>
        <v>0.11</v>
      </c>
      <c r="L37" s="15">
        <f>'[5]Раздел №1'!$I$42</f>
        <v>582.9</v>
      </c>
      <c r="M37" s="24">
        <f>K37*L37</f>
        <v>64.1</v>
      </c>
      <c r="N37" s="24">
        <f>SUM(N38:N39)</f>
        <v>175.2</v>
      </c>
      <c r="P37" s="122"/>
      <c r="Q37" s="122"/>
      <c r="R37" s="55"/>
      <c r="S37" s="55"/>
      <c r="T37" s="56"/>
      <c r="U37" s="123"/>
      <c r="V37" s="56"/>
      <c r="W37" s="123"/>
      <c r="X37" s="53"/>
      <c r="Y37" s="53"/>
    </row>
    <row r="38" spans="1:25" ht="15" customHeight="1" hidden="1" outlineLevel="2">
      <c r="A38" s="20"/>
      <c r="B38" s="21"/>
      <c r="C38" s="22" t="s">
        <v>48</v>
      </c>
      <c r="D38" s="13" t="s">
        <v>41</v>
      </c>
      <c r="E38" s="16">
        <v>1</v>
      </c>
      <c r="F38" s="17">
        <f>70.83*1.18*1.096*1.25*1.118*1.091*1.078*1.077*1.08</f>
        <v>175.12</v>
      </c>
      <c r="G38" s="13"/>
      <c r="H38" s="13" t="s">
        <v>50</v>
      </c>
      <c r="I38" s="17"/>
      <c r="J38" s="15">
        <v>1</v>
      </c>
      <c r="K38" s="17"/>
      <c r="L38" s="15">
        <f>'[5]Раздел №1'!$I$42</f>
        <v>582.9</v>
      </c>
      <c r="M38" s="24"/>
      <c r="N38" s="24">
        <f aca="true" t="shared" si="0" ref="N38:N44">E38*F38</f>
        <v>175.1</v>
      </c>
      <c r="O38" s="7" t="s">
        <v>434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</row>
    <row r="39" spans="1:25" ht="15" customHeight="1" hidden="1" outlineLevel="2">
      <c r="A39" s="20"/>
      <c r="B39" s="21"/>
      <c r="C39" s="22" t="s">
        <v>40</v>
      </c>
      <c r="D39" s="13" t="s">
        <v>33</v>
      </c>
      <c r="E39" s="16">
        <f>0.002/2</f>
        <v>0.001</v>
      </c>
      <c r="F39" s="17">
        <f>48360.81/1010*1.089*1.096*1.25*1.18*1.118*1.091*1.078*1.077*1.08</f>
        <v>128.92</v>
      </c>
      <c r="G39" s="13"/>
      <c r="H39" s="13" t="s">
        <v>51</v>
      </c>
      <c r="I39" s="17"/>
      <c r="J39" s="15">
        <v>1</v>
      </c>
      <c r="K39" s="17"/>
      <c r="L39" s="15">
        <f>'[5]Раздел №1'!$I$42</f>
        <v>582.9</v>
      </c>
      <c r="M39" s="24"/>
      <c r="N39" s="24">
        <f t="shared" si="0"/>
        <v>0.1</v>
      </c>
      <c r="O39" s="7" t="s">
        <v>453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</row>
    <row r="40" spans="1:25" ht="16.5" customHeight="1" outlineLevel="1" collapsed="1">
      <c r="A40" s="20" t="s">
        <v>652</v>
      </c>
      <c r="B40" s="21" t="s">
        <v>20</v>
      </c>
      <c r="C40" s="22"/>
      <c r="D40" s="13"/>
      <c r="E40" s="16"/>
      <c r="F40" s="32"/>
      <c r="G40" s="13" t="s">
        <v>23</v>
      </c>
      <c r="H40" s="13" t="s">
        <v>367</v>
      </c>
      <c r="I40" s="17">
        <f>266.7/100</f>
        <v>2.67</v>
      </c>
      <c r="J40" s="15">
        <v>1</v>
      </c>
      <c r="K40" s="17">
        <f>I40*J40</f>
        <v>2.67</v>
      </c>
      <c r="L40" s="15">
        <v>449.7</v>
      </c>
      <c r="M40" s="24">
        <f>K40*L40</f>
        <v>1200.7</v>
      </c>
      <c r="N40" s="24">
        <f>SUM(N41:N44)</f>
        <v>10.7</v>
      </c>
      <c r="P40" s="122"/>
      <c r="Q40" s="122"/>
      <c r="R40" s="122"/>
      <c r="S40" s="122"/>
      <c r="T40" s="122"/>
      <c r="U40" s="122"/>
      <c r="V40" s="122"/>
      <c r="W40" s="122"/>
      <c r="X40" s="122"/>
      <c r="Y40" s="122"/>
    </row>
    <row r="41" spans="1:25" ht="12.75" customHeight="1" hidden="1" outlineLevel="2">
      <c r="A41" s="20"/>
      <c r="B41" s="21"/>
      <c r="C41" s="22" t="s">
        <v>55</v>
      </c>
      <c r="D41" s="13" t="s">
        <v>41</v>
      </c>
      <c r="E41" s="16">
        <f>100/100</f>
        <v>1</v>
      </c>
      <c r="F41" s="17"/>
      <c r="G41" s="13"/>
      <c r="H41" s="13" t="s">
        <v>368</v>
      </c>
      <c r="I41" s="13"/>
      <c r="J41" s="15">
        <v>1</v>
      </c>
      <c r="K41" s="15"/>
      <c r="L41" s="15">
        <f>'[5]Раздел №1'!$I$42</f>
        <v>582.9</v>
      </c>
      <c r="M41" s="24"/>
      <c r="N41" s="24">
        <f t="shared" si="0"/>
        <v>0</v>
      </c>
      <c r="O41" s="7" t="s">
        <v>435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</row>
    <row r="42" spans="1:25" ht="12.75" customHeight="1" hidden="1" outlineLevel="2">
      <c r="A42" s="20"/>
      <c r="B42" s="21"/>
      <c r="C42" s="22" t="s">
        <v>56</v>
      </c>
      <c r="D42" s="13" t="s">
        <v>33</v>
      </c>
      <c r="E42" s="16">
        <f>3.2/100</f>
        <v>0.032</v>
      </c>
      <c r="F42" s="17">
        <f>49207.49/1110*1.18*1.096*1.25*1.118*1.091*1.078*1.077*1.08</f>
        <v>109.61</v>
      </c>
      <c r="G42" s="13"/>
      <c r="H42" s="13" t="s">
        <v>368</v>
      </c>
      <c r="I42" s="13"/>
      <c r="J42" s="15">
        <v>1</v>
      </c>
      <c r="K42" s="15"/>
      <c r="L42" s="15">
        <f>'[5]Раздел №1'!$I$42</f>
        <v>582.9</v>
      </c>
      <c r="M42" s="24"/>
      <c r="N42" s="24">
        <f t="shared" si="0"/>
        <v>3.5</v>
      </c>
      <c r="O42" s="7" t="s">
        <v>448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3" spans="1:25" ht="12.75" customHeight="1" hidden="1" outlineLevel="2">
      <c r="A43" s="20"/>
      <c r="B43" s="21"/>
      <c r="C43" s="22" t="s">
        <v>57</v>
      </c>
      <c r="D43" s="13" t="s">
        <v>33</v>
      </c>
      <c r="E43" s="16">
        <f>2.1/100</f>
        <v>0.021</v>
      </c>
      <c r="F43" s="17">
        <f>82.28*1.096*1.25*1.18*1.118*1.091*1.078*1.077*1.08</f>
        <v>203.43</v>
      </c>
      <c r="G43" s="13"/>
      <c r="H43" s="13" t="s">
        <v>368</v>
      </c>
      <c r="I43" s="13"/>
      <c r="J43" s="15">
        <v>1</v>
      </c>
      <c r="K43" s="15"/>
      <c r="L43" s="15">
        <f>'[5]Раздел №1'!$I$42</f>
        <v>582.9</v>
      </c>
      <c r="M43" s="24"/>
      <c r="N43" s="24">
        <f t="shared" si="0"/>
        <v>4.3</v>
      </c>
      <c r="O43" s="7" t="s">
        <v>444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</row>
    <row r="44" spans="1:25" ht="12.75" customHeight="1" hidden="1" outlineLevel="2">
      <c r="A44" s="20"/>
      <c r="B44" s="21"/>
      <c r="C44" s="22" t="s">
        <v>58</v>
      </c>
      <c r="D44" s="13" t="s">
        <v>33</v>
      </c>
      <c r="E44" s="16">
        <f>1.9/100</f>
        <v>0.019</v>
      </c>
      <c r="F44" s="17">
        <f>74.29/1.2*1.096*1.25*1.18*1.118*1.091*1.078*1.077*1.08</f>
        <v>153.07</v>
      </c>
      <c r="G44" s="13"/>
      <c r="H44" s="13" t="s">
        <v>368</v>
      </c>
      <c r="I44" s="13"/>
      <c r="J44" s="15">
        <v>1</v>
      </c>
      <c r="K44" s="15"/>
      <c r="L44" s="15">
        <f>'[5]Раздел №1'!$I$42</f>
        <v>582.9</v>
      </c>
      <c r="M44" s="24"/>
      <c r="N44" s="24">
        <f t="shared" si="0"/>
        <v>2.9</v>
      </c>
      <c r="O44" s="7" t="s">
        <v>442</v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</row>
    <row r="45" spans="1:25" ht="15.75" customHeight="1" outlineLevel="1" collapsed="1">
      <c r="A45" s="20"/>
      <c r="B45" s="21" t="s">
        <v>54</v>
      </c>
      <c r="C45" s="22"/>
      <c r="D45" s="13"/>
      <c r="E45" s="16"/>
      <c r="F45" s="32"/>
      <c r="G45" s="13" t="s">
        <v>23</v>
      </c>
      <c r="H45" s="13" t="s">
        <v>368</v>
      </c>
      <c r="I45" s="17">
        <f>200/100</f>
        <v>2</v>
      </c>
      <c r="J45" s="15">
        <v>1</v>
      </c>
      <c r="K45" s="17">
        <f>I45*J45</f>
        <v>2</v>
      </c>
      <c r="L45" s="15">
        <v>449.7</v>
      </c>
      <c r="M45" s="24">
        <f>K45*L45</f>
        <v>899.4</v>
      </c>
      <c r="N45" s="24">
        <f>SUM(N46:N49)</f>
        <v>11.5</v>
      </c>
      <c r="P45" s="122"/>
      <c r="Q45" s="53"/>
      <c r="R45" s="122"/>
      <c r="S45" s="122"/>
      <c r="T45" s="122"/>
      <c r="U45" s="122"/>
      <c r="V45" s="122"/>
      <c r="W45" s="122"/>
      <c r="X45" s="122"/>
      <c r="Y45" s="122"/>
    </row>
    <row r="46" spans="1:25" ht="12.75" customHeight="1" hidden="1" outlineLevel="2">
      <c r="A46" s="20"/>
      <c r="B46" s="21"/>
      <c r="C46" s="22" t="s">
        <v>55</v>
      </c>
      <c r="D46" s="13" t="s">
        <v>41</v>
      </c>
      <c r="E46" s="16">
        <f>100/100</f>
        <v>1</v>
      </c>
      <c r="F46" s="17"/>
      <c r="G46" s="13"/>
      <c r="H46" s="13" t="s">
        <v>367</v>
      </c>
      <c r="I46" s="17"/>
      <c r="J46" s="13"/>
      <c r="K46" s="15"/>
      <c r="L46" s="15">
        <f>'[5]Раздел №1'!$I$42</f>
        <v>582.9</v>
      </c>
      <c r="M46" s="24"/>
      <c r="N46" s="24">
        <f aca="true" t="shared" si="1" ref="N46:N69">E46*F46</f>
        <v>0</v>
      </c>
      <c r="O46" s="7" t="s">
        <v>454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</row>
    <row r="47" spans="1:25" ht="12.75" customHeight="1" hidden="1" outlineLevel="2">
      <c r="A47" s="20"/>
      <c r="B47" s="21"/>
      <c r="C47" s="22" t="s">
        <v>56</v>
      </c>
      <c r="D47" s="13" t="s">
        <v>33</v>
      </c>
      <c r="E47" s="16">
        <f>3.2/100</f>
        <v>0.032</v>
      </c>
      <c r="F47" s="17">
        <f>49207.49/1110*1.18*1.096*1.074*1.25*1.118*1.091*1.078*1.077*1.08</f>
        <v>117.72</v>
      </c>
      <c r="G47" s="13"/>
      <c r="H47" s="13" t="s">
        <v>367</v>
      </c>
      <c r="I47" s="17"/>
      <c r="J47" s="13"/>
      <c r="K47" s="15"/>
      <c r="L47" s="15">
        <f>'[5]Раздел №1'!$I$42</f>
        <v>582.9</v>
      </c>
      <c r="M47" s="24" t="s">
        <v>103</v>
      </c>
      <c r="N47" s="24">
        <f t="shared" si="1"/>
        <v>3.8</v>
      </c>
      <c r="O47" s="7" t="s">
        <v>448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</row>
    <row r="48" spans="1:25" ht="12.75" customHeight="1" hidden="1" outlineLevel="2">
      <c r="A48" s="20"/>
      <c r="B48" s="21"/>
      <c r="C48" s="22" t="s">
        <v>57</v>
      </c>
      <c r="D48" s="13" t="s">
        <v>33</v>
      </c>
      <c r="E48" s="16">
        <f>2.1/100</f>
        <v>0.021</v>
      </c>
      <c r="F48" s="17">
        <f>82.28*1.096*1.25*1.074*1.18*1.118*1.091*1.078*1.077*1.08</f>
        <v>218.49</v>
      </c>
      <c r="G48" s="13"/>
      <c r="H48" s="13" t="s">
        <v>367</v>
      </c>
      <c r="I48" s="17"/>
      <c r="J48" s="13"/>
      <c r="K48" s="15"/>
      <c r="L48" s="15">
        <f>'[5]Раздел №1'!$I$42</f>
        <v>582.9</v>
      </c>
      <c r="M48" s="24"/>
      <c r="N48" s="24">
        <f t="shared" si="1"/>
        <v>4.6</v>
      </c>
      <c r="O48" s="7" t="s">
        <v>444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</row>
    <row r="49" spans="1:25" ht="12.75" customHeight="1" hidden="1" outlineLevel="2">
      <c r="A49" s="20"/>
      <c r="B49" s="21"/>
      <c r="C49" s="22" t="s">
        <v>58</v>
      </c>
      <c r="D49" s="13" t="s">
        <v>33</v>
      </c>
      <c r="E49" s="16">
        <f>1.9/100</f>
        <v>0.019</v>
      </c>
      <c r="F49" s="17">
        <f>74.29/1.2*1.096*1.25*1.074*1.18*1.118*1.091*1.078*1.077*1.08</f>
        <v>164.39</v>
      </c>
      <c r="G49" s="13"/>
      <c r="H49" s="13" t="s">
        <v>367</v>
      </c>
      <c r="I49" s="17"/>
      <c r="J49" s="13"/>
      <c r="K49" s="15"/>
      <c r="L49" s="15">
        <f>'[5]Раздел №1'!$I$42</f>
        <v>582.9</v>
      </c>
      <c r="M49" s="24"/>
      <c r="N49" s="24">
        <f t="shared" si="1"/>
        <v>3.1</v>
      </c>
      <c r="O49" s="7" t="s">
        <v>442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/>
    </row>
    <row r="50" spans="1:25" ht="16.5" customHeight="1" outlineLevel="1" collapsed="1">
      <c r="A50" s="20" t="s">
        <v>653</v>
      </c>
      <c r="B50" s="21" t="s">
        <v>59</v>
      </c>
      <c r="C50" s="22"/>
      <c r="D50" s="13"/>
      <c r="E50" s="16"/>
      <c r="F50" s="32"/>
      <c r="G50" s="13" t="s">
        <v>23</v>
      </c>
      <c r="H50" s="13" t="s">
        <v>366</v>
      </c>
      <c r="I50" s="17">
        <f>212/100</f>
        <v>2.12</v>
      </c>
      <c r="J50" s="15">
        <v>1.2</v>
      </c>
      <c r="K50" s="17">
        <f>I50*J50</f>
        <v>2.54</v>
      </c>
      <c r="L50" s="15">
        <f>'[5]Раздел №1'!$I$42</f>
        <v>582.9</v>
      </c>
      <c r="M50" s="24">
        <f>K50*L50</f>
        <v>1480.6</v>
      </c>
      <c r="N50" s="24">
        <f>SUM(N51:N57)</f>
        <v>28.8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</row>
    <row r="51" spans="1:25" ht="12.75" customHeight="1" hidden="1" outlineLevel="2">
      <c r="A51" s="20"/>
      <c r="B51" s="21"/>
      <c r="C51" s="22" t="s">
        <v>60</v>
      </c>
      <c r="D51" s="13" t="s">
        <v>41</v>
      </c>
      <c r="E51" s="16">
        <f>100/100</f>
        <v>1</v>
      </c>
      <c r="F51" s="17"/>
      <c r="G51" s="13"/>
      <c r="H51" s="13" t="s">
        <v>366</v>
      </c>
      <c r="I51" s="17"/>
      <c r="J51" s="13"/>
      <c r="K51" s="15"/>
      <c r="L51" s="15">
        <f>'[5]Раздел №1'!$I$42</f>
        <v>582.9</v>
      </c>
      <c r="M51" s="24"/>
      <c r="N51" s="24">
        <f t="shared" si="1"/>
        <v>0</v>
      </c>
      <c r="O51" s="7" t="s">
        <v>455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1:25" ht="12.75" customHeight="1" hidden="1" outlineLevel="2">
      <c r="A52" s="20"/>
      <c r="B52" s="21"/>
      <c r="C52" s="22" t="s">
        <v>56</v>
      </c>
      <c r="D52" s="13" t="s">
        <v>33</v>
      </c>
      <c r="E52" s="16">
        <f>0.01*1000/100</f>
        <v>0.1</v>
      </c>
      <c r="F52" s="17">
        <f>49207.49/1110*1.18*1.096*1.074*1.25*1.118*1.091*1.078*1.077*1.08</f>
        <v>117.72</v>
      </c>
      <c r="G52" s="13"/>
      <c r="H52" s="13" t="s">
        <v>366</v>
      </c>
      <c r="I52" s="17"/>
      <c r="J52" s="13"/>
      <c r="K52" s="15"/>
      <c r="L52" s="15">
        <f>'[5]Раздел №1'!$I$42</f>
        <v>582.9</v>
      </c>
      <c r="M52" s="24"/>
      <c r="N52" s="24">
        <f t="shared" si="1"/>
        <v>11.8</v>
      </c>
      <c r="O52" s="7" t="s">
        <v>448</v>
      </c>
      <c r="P52" s="122"/>
      <c r="Q52" s="122"/>
      <c r="R52" s="122"/>
      <c r="S52" s="122"/>
      <c r="T52" s="122"/>
      <c r="U52" s="122"/>
      <c r="V52" s="122"/>
      <c r="W52" s="122"/>
      <c r="X52" s="122"/>
      <c r="Y52" s="122"/>
    </row>
    <row r="53" spans="1:25" ht="12.75" customHeight="1" hidden="1" outlineLevel="2">
      <c r="A53" s="20"/>
      <c r="B53" s="21"/>
      <c r="C53" s="22" t="s">
        <v>61</v>
      </c>
      <c r="D53" s="13" t="s">
        <v>33</v>
      </c>
      <c r="E53" s="16">
        <f>0.008*1000/100</f>
        <v>0.08</v>
      </c>
      <c r="F53" s="17">
        <f>9712.71/1010*1.096*1.25*1.18*1.074*1.118*1.091*1.078*1.077*1.08</f>
        <v>25.54</v>
      </c>
      <c r="G53" s="13"/>
      <c r="H53" s="13" t="s">
        <v>366</v>
      </c>
      <c r="I53" s="17"/>
      <c r="J53" s="13"/>
      <c r="K53" s="15"/>
      <c r="L53" s="15">
        <f>'[5]Раздел №1'!$I$42</f>
        <v>582.9</v>
      </c>
      <c r="M53" s="24"/>
      <c r="N53" s="24">
        <f t="shared" si="1"/>
        <v>2</v>
      </c>
      <c r="O53" s="7" t="s">
        <v>446</v>
      </c>
      <c r="P53" s="122"/>
      <c r="Q53" s="122"/>
      <c r="R53" s="122"/>
      <c r="S53" s="122"/>
      <c r="T53" s="122"/>
      <c r="U53" s="122"/>
      <c r="V53" s="122"/>
      <c r="W53" s="122"/>
      <c r="X53" s="122"/>
      <c r="Y53" s="122"/>
    </row>
    <row r="54" spans="1:25" ht="12.75" customHeight="1" hidden="1" outlineLevel="2">
      <c r="A54" s="20"/>
      <c r="B54" s="21"/>
      <c r="C54" s="22" t="s">
        <v>62</v>
      </c>
      <c r="D54" s="13" t="s">
        <v>33</v>
      </c>
      <c r="E54" s="16">
        <f>0.007*1000/100</f>
        <v>0.07</v>
      </c>
      <c r="F54" s="17">
        <f>49916.37/1000*1.18*1.096*1.25*1.074*1.118*1.091*1.078*1.077*1.08</f>
        <v>132.55</v>
      </c>
      <c r="G54" s="13"/>
      <c r="H54" s="13" t="s">
        <v>366</v>
      </c>
      <c r="I54" s="17"/>
      <c r="J54" s="13"/>
      <c r="K54" s="15"/>
      <c r="L54" s="15">
        <f>'[5]Раздел №1'!$I$42</f>
        <v>582.9</v>
      </c>
      <c r="M54" s="24"/>
      <c r="N54" s="24">
        <f t="shared" si="1"/>
        <v>9.3</v>
      </c>
      <c r="O54" s="7" t="s">
        <v>441</v>
      </c>
      <c r="P54" s="122"/>
      <c r="Q54" s="122"/>
      <c r="R54" s="122"/>
      <c r="S54" s="122"/>
      <c r="T54" s="122"/>
      <c r="U54" s="122"/>
      <c r="V54" s="122"/>
      <c r="W54" s="122"/>
      <c r="X54" s="122"/>
      <c r="Y54" s="122"/>
    </row>
    <row r="55" spans="1:25" ht="12.75" customHeight="1" hidden="1" outlineLevel="2">
      <c r="A55" s="20"/>
      <c r="B55" s="21"/>
      <c r="C55" s="22" t="s">
        <v>63</v>
      </c>
      <c r="D55" s="13" t="s">
        <v>33</v>
      </c>
      <c r="E55" s="16">
        <f>0.007*1000/100</f>
        <v>0.07</v>
      </c>
      <c r="F55" s="17">
        <f>24426.83/1120*1.096*1.25*1.18*1.074*1.118*1.091*1.078*1.077*1.08</f>
        <v>57.91</v>
      </c>
      <c r="G55" s="13"/>
      <c r="H55" s="13" t="s">
        <v>366</v>
      </c>
      <c r="I55" s="17"/>
      <c r="J55" s="13"/>
      <c r="K55" s="15"/>
      <c r="L55" s="15">
        <f>'[5]Раздел №1'!$I$42</f>
        <v>582.9</v>
      </c>
      <c r="M55" s="24"/>
      <c r="N55" s="24">
        <f t="shared" si="1"/>
        <v>4.1</v>
      </c>
      <c r="O55" s="7" t="s">
        <v>445</v>
      </c>
      <c r="P55" s="122"/>
      <c r="Q55" s="122"/>
      <c r="R55" s="122"/>
      <c r="S55" s="122"/>
      <c r="T55" s="122"/>
      <c r="U55" s="122"/>
      <c r="V55" s="122"/>
      <c r="W55" s="122"/>
      <c r="X55" s="122"/>
      <c r="Y55" s="122"/>
    </row>
    <row r="56" spans="1:25" ht="12.75" customHeight="1" hidden="1" outlineLevel="2">
      <c r="A56" s="20"/>
      <c r="B56" s="21"/>
      <c r="C56" s="22" t="s">
        <v>57</v>
      </c>
      <c r="D56" s="13" t="s">
        <v>33</v>
      </c>
      <c r="E56" s="16">
        <f>0.4/100</f>
        <v>0.004</v>
      </c>
      <c r="F56" s="17">
        <f>82.28*1.096*1.25*1.18*1.074*1.118*1.091*1.078*1.077*1.08</f>
        <v>218.49</v>
      </c>
      <c r="G56" s="13"/>
      <c r="H56" s="13" t="s">
        <v>366</v>
      </c>
      <c r="I56" s="17"/>
      <c r="J56" s="13"/>
      <c r="K56" s="15"/>
      <c r="L56" s="15">
        <f>'[5]Раздел №1'!$I$42</f>
        <v>582.9</v>
      </c>
      <c r="M56" s="24"/>
      <c r="N56" s="24">
        <f t="shared" si="1"/>
        <v>0.9</v>
      </c>
      <c r="O56" s="7" t="s">
        <v>444</v>
      </c>
      <c r="P56" s="122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25" ht="12.75" customHeight="1" hidden="1" outlineLevel="2">
      <c r="A57" s="20"/>
      <c r="B57" s="21"/>
      <c r="C57" s="22" t="s">
        <v>58</v>
      </c>
      <c r="D57" s="13" t="s">
        <v>33</v>
      </c>
      <c r="E57" s="16">
        <f>0.0004*1000/100</f>
        <v>0.004</v>
      </c>
      <c r="F57" s="17">
        <f>74.29/1.2*1.096*1.25*1.18*1.074*1.118*1.091*1.078*1.077*1.08</f>
        <v>164.39</v>
      </c>
      <c r="G57" s="13"/>
      <c r="H57" s="13" t="s">
        <v>366</v>
      </c>
      <c r="I57" s="17"/>
      <c r="J57" s="13"/>
      <c r="K57" s="15"/>
      <c r="L57" s="15">
        <f>'[5]Раздел №1'!$I$42</f>
        <v>582.9</v>
      </c>
      <c r="M57" s="24"/>
      <c r="N57" s="24">
        <f t="shared" si="1"/>
        <v>0.7</v>
      </c>
      <c r="O57" s="7" t="s">
        <v>442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1:25" ht="16.5" customHeight="1" outlineLevel="1" collapsed="1">
      <c r="A58" s="20" t="s">
        <v>654</v>
      </c>
      <c r="B58" s="21" t="s">
        <v>64</v>
      </c>
      <c r="C58" s="22"/>
      <c r="D58" s="13"/>
      <c r="E58" s="16"/>
      <c r="F58" s="32"/>
      <c r="G58" s="13" t="s">
        <v>23</v>
      </c>
      <c r="H58" s="13" t="s">
        <v>365</v>
      </c>
      <c r="I58" s="17">
        <f>327.4/100</f>
        <v>3.27</v>
      </c>
      <c r="J58" s="15">
        <v>1.2</v>
      </c>
      <c r="K58" s="17">
        <f>I58*J58</f>
        <v>3.92</v>
      </c>
      <c r="L58" s="15">
        <v>449.7</v>
      </c>
      <c r="M58" s="24">
        <f>K58*L58</f>
        <v>1762.8</v>
      </c>
      <c r="N58" s="24">
        <f>SUM(N59:N63)</f>
        <v>19.9</v>
      </c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1:25" ht="12.75" customHeight="1" hidden="1" outlineLevel="2">
      <c r="A59" s="20"/>
      <c r="B59" s="21"/>
      <c r="C59" s="22" t="s">
        <v>65</v>
      </c>
      <c r="D59" s="13" t="s">
        <v>41</v>
      </c>
      <c r="E59" s="16">
        <f>100/100</f>
        <v>1</v>
      </c>
      <c r="F59" s="17"/>
      <c r="G59" s="13"/>
      <c r="H59" s="13" t="s">
        <v>365</v>
      </c>
      <c r="I59" s="13"/>
      <c r="J59" s="13"/>
      <c r="K59" s="15"/>
      <c r="L59" s="15">
        <f>'[5]Раздел №1'!$I$42</f>
        <v>582.9</v>
      </c>
      <c r="M59" s="24"/>
      <c r="N59" s="24">
        <f t="shared" si="1"/>
        <v>0</v>
      </c>
      <c r="O59" s="7" t="s">
        <v>456</v>
      </c>
      <c r="P59" s="122"/>
      <c r="Q59" s="122"/>
      <c r="R59" s="122"/>
      <c r="S59" s="122"/>
      <c r="T59" s="122"/>
      <c r="U59" s="122"/>
      <c r="V59" s="122"/>
      <c r="W59" s="122"/>
      <c r="X59" s="122"/>
      <c r="Y59" s="122"/>
    </row>
    <row r="60" spans="1:25" ht="12.75" customHeight="1" hidden="1" outlineLevel="2">
      <c r="A60" s="20"/>
      <c r="B60" s="21"/>
      <c r="C60" s="22" t="s">
        <v>66</v>
      </c>
      <c r="D60" s="13" t="s">
        <v>33</v>
      </c>
      <c r="E60" s="16">
        <f>0.005*1000/100</f>
        <v>0.05</v>
      </c>
      <c r="F60" s="17">
        <f>63311.4/1120*1.18*1.096*1.25*1.074*1.118*1.091*1.078*1.077*1.08</f>
        <v>150.11</v>
      </c>
      <c r="G60" s="13"/>
      <c r="H60" s="13" t="s">
        <v>365</v>
      </c>
      <c r="I60" s="13"/>
      <c r="J60" s="13"/>
      <c r="K60" s="15"/>
      <c r="L60" s="15">
        <f>'[5]Раздел №1'!$I$42</f>
        <v>582.9</v>
      </c>
      <c r="M60" s="24"/>
      <c r="N60" s="24">
        <f t="shared" si="1"/>
        <v>7.5</v>
      </c>
      <c r="O60" s="7" t="s">
        <v>475</v>
      </c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1:25" ht="12.75" customHeight="1" hidden="1" outlineLevel="2">
      <c r="A61" s="20"/>
      <c r="B61" s="21"/>
      <c r="C61" s="22" t="s">
        <v>63</v>
      </c>
      <c r="D61" s="13" t="s">
        <v>33</v>
      </c>
      <c r="E61" s="16">
        <f>0.011*1000/100</f>
        <v>0.11</v>
      </c>
      <c r="F61" s="118">
        <f>24426.83/1120*1.096*1.25*1.18*1.074*1.118*1.091*1.078*1.077*1.08</f>
        <v>57.91</v>
      </c>
      <c r="G61" s="13"/>
      <c r="H61" s="13" t="s">
        <v>365</v>
      </c>
      <c r="I61" s="13"/>
      <c r="J61" s="13"/>
      <c r="K61" s="15"/>
      <c r="L61" s="15">
        <f>'[5]Раздел №1'!$I$42</f>
        <v>582.9</v>
      </c>
      <c r="M61" s="24"/>
      <c r="N61" s="24">
        <f t="shared" si="1"/>
        <v>6.4</v>
      </c>
      <c r="O61" s="7" t="s">
        <v>445</v>
      </c>
      <c r="P61" s="122"/>
      <c r="Q61" s="122"/>
      <c r="R61" s="122"/>
      <c r="S61" s="122"/>
      <c r="T61" s="122"/>
      <c r="U61" s="122"/>
      <c r="V61" s="122"/>
      <c r="W61" s="122"/>
      <c r="X61" s="122"/>
      <c r="Y61" s="122"/>
    </row>
    <row r="62" spans="1:25" ht="12.75" customHeight="1" hidden="1" outlineLevel="2">
      <c r="A62" s="20"/>
      <c r="B62" s="21"/>
      <c r="C62" s="22" t="s">
        <v>62</v>
      </c>
      <c r="D62" s="13" t="s">
        <v>33</v>
      </c>
      <c r="E62" s="16">
        <f>0.003*1000/100</f>
        <v>0.03</v>
      </c>
      <c r="F62" s="17">
        <f>49916.37/1000*1.18*1.096*1.25*1.074*1.118*1.091*1.078*1.077*1.08</f>
        <v>132.55</v>
      </c>
      <c r="G62" s="13"/>
      <c r="H62" s="13" t="s">
        <v>365</v>
      </c>
      <c r="I62" s="13"/>
      <c r="J62" s="13"/>
      <c r="K62" s="15"/>
      <c r="L62" s="15">
        <f>'[5]Раздел №1'!$I$42</f>
        <v>582.9</v>
      </c>
      <c r="M62" s="24"/>
      <c r="N62" s="24">
        <f t="shared" si="1"/>
        <v>4</v>
      </c>
      <c r="O62" s="7" t="s">
        <v>441</v>
      </c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spans="1:25" ht="12.75" customHeight="1" hidden="1" outlineLevel="2">
      <c r="A63" s="20"/>
      <c r="B63" s="21"/>
      <c r="C63" s="22" t="s">
        <v>61</v>
      </c>
      <c r="D63" s="13" t="s">
        <v>33</v>
      </c>
      <c r="E63" s="16">
        <f>0.008*1000/100</f>
        <v>0.08</v>
      </c>
      <c r="F63" s="17">
        <f>9712.71/1010*1.096*1.25*1.18*1.074*1.118*1.091*1.078*1.077*1.08</f>
        <v>25.54</v>
      </c>
      <c r="G63" s="13"/>
      <c r="H63" s="13" t="s">
        <v>365</v>
      </c>
      <c r="I63" s="13"/>
      <c r="J63" s="13"/>
      <c r="K63" s="15"/>
      <c r="L63" s="15">
        <f>'[5]Раздел №1'!$I$42</f>
        <v>582.9</v>
      </c>
      <c r="M63" s="24"/>
      <c r="N63" s="24">
        <f t="shared" si="1"/>
        <v>2</v>
      </c>
      <c r="O63" s="7" t="s">
        <v>446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</row>
    <row r="64" spans="1:25" ht="16.5" customHeight="1" outlineLevel="1" collapsed="1">
      <c r="A64" s="20" t="s">
        <v>655</v>
      </c>
      <c r="B64" s="21" t="s">
        <v>67</v>
      </c>
      <c r="C64" s="22"/>
      <c r="D64" s="13"/>
      <c r="E64" s="16"/>
      <c r="F64" s="32"/>
      <c r="G64" s="13" t="s">
        <v>23</v>
      </c>
      <c r="H64" s="13" t="s">
        <v>364</v>
      </c>
      <c r="I64" s="17">
        <f>407.6/100</f>
        <v>4.08</v>
      </c>
      <c r="J64" s="15">
        <v>1.2</v>
      </c>
      <c r="K64" s="17">
        <f>I64*J64</f>
        <v>4.9</v>
      </c>
      <c r="L64" s="15">
        <v>449.7</v>
      </c>
      <c r="M64" s="24">
        <f>K64*L64</f>
        <v>2203.5</v>
      </c>
      <c r="N64" s="24">
        <f>SUM(N65:N69)</f>
        <v>33.4</v>
      </c>
      <c r="P64" s="122"/>
      <c r="Q64" s="55"/>
      <c r="R64" s="55"/>
      <c r="S64" s="56"/>
      <c r="T64" s="123"/>
      <c r="U64" s="56"/>
      <c r="V64" s="123"/>
      <c r="W64" s="53"/>
      <c r="X64" s="53"/>
      <c r="Y64" s="122"/>
    </row>
    <row r="65" spans="1:25" ht="12.75" customHeight="1" hidden="1" outlineLevel="2">
      <c r="A65" s="20"/>
      <c r="B65" s="21"/>
      <c r="C65" s="22" t="s">
        <v>65</v>
      </c>
      <c r="D65" s="13" t="s">
        <v>41</v>
      </c>
      <c r="E65" s="16">
        <f>100/100</f>
        <v>1</v>
      </c>
      <c r="F65" s="17"/>
      <c r="G65" s="13"/>
      <c r="H65" s="13" t="s">
        <v>364</v>
      </c>
      <c r="I65" s="13"/>
      <c r="J65" s="13"/>
      <c r="K65" s="15"/>
      <c r="L65" s="15">
        <f>'[5]Раздел №1'!$I$42</f>
        <v>582.9</v>
      </c>
      <c r="M65" s="24"/>
      <c r="N65" s="24">
        <f t="shared" si="1"/>
        <v>0</v>
      </c>
      <c r="O65" s="7" t="s">
        <v>457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6" spans="1:25" ht="12.75" customHeight="1" hidden="1" outlineLevel="2">
      <c r="A66" s="20"/>
      <c r="B66" s="21"/>
      <c r="C66" s="22" t="s">
        <v>66</v>
      </c>
      <c r="D66" s="13" t="s">
        <v>33</v>
      </c>
      <c r="E66" s="16">
        <f>0.008*1000/100</f>
        <v>0.08</v>
      </c>
      <c r="F66" s="17">
        <f>63311.4/1120*1.18*1.096*1.25*1.074*1.118*1.091*1.078*1.077*1.08</f>
        <v>150.11</v>
      </c>
      <c r="G66" s="13"/>
      <c r="H66" s="13" t="s">
        <v>364</v>
      </c>
      <c r="I66" s="13"/>
      <c r="J66" s="13"/>
      <c r="K66" s="15"/>
      <c r="L66" s="15">
        <f>'[5]Раздел №1'!$I$42</f>
        <v>582.9</v>
      </c>
      <c r="M66" s="24"/>
      <c r="N66" s="24">
        <f t="shared" si="1"/>
        <v>12</v>
      </c>
      <c r="O66" s="7" t="s">
        <v>475</v>
      </c>
      <c r="P66" s="122"/>
      <c r="Q66" s="122"/>
      <c r="R66" s="122"/>
      <c r="S66" s="122"/>
      <c r="T66" s="122"/>
      <c r="U66" s="122"/>
      <c r="V66" s="122"/>
      <c r="W66" s="122"/>
      <c r="X66" s="122"/>
      <c r="Y66" s="122"/>
    </row>
    <row r="67" spans="1:25" ht="12.75" customHeight="1" hidden="1" outlineLevel="2">
      <c r="A67" s="20"/>
      <c r="B67" s="21"/>
      <c r="C67" s="22" t="s">
        <v>63</v>
      </c>
      <c r="D67" s="13" t="s">
        <v>33</v>
      </c>
      <c r="E67" s="16">
        <f>0.016*1000/100</f>
        <v>0.16</v>
      </c>
      <c r="F67" s="17">
        <f>24426.83/1120*1.096*1.25*1.18*1.074*1.118*1.091*1.078*1.077*1.08</f>
        <v>57.91</v>
      </c>
      <c r="G67" s="13"/>
      <c r="H67" s="13" t="s">
        <v>364</v>
      </c>
      <c r="I67" s="13"/>
      <c r="J67" s="13"/>
      <c r="K67" s="15"/>
      <c r="L67" s="15">
        <f>'[5]Раздел №1'!$I$42</f>
        <v>582.9</v>
      </c>
      <c r="M67" s="24"/>
      <c r="N67" s="24">
        <f t="shared" si="1"/>
        <v>9.3</v>
      </c>
      <c r="O67" s="7" t="s">
        <v>445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</row>
    <row r="68" spans="1:25" ht="12.75" customHeight="1" hidden="1" outlineLevel="2">
      <c r="A68" s="20"/>
      <c r="B68" s="21"/>
      <c r="C68" s="22" t="s">
        <v>62</v>
      </c>
      <c r="D68" s="13" t="s">
        <v>33</v>
      </c>
      <c r="E68" s="16">
        <f>0.006*1000/100</f>
        <v>0.06</v>
      </c>
      <c r="F68" s="17">
        <f>49916.37/1000*1.18*1.096*1.25*1.074*1.118*1.091*1.078*1.077*1.08</f>
        <v>132.55</v>
      </c>
      <c r="G68" s="13"/>
      <c r="H68" s="13" t="s">
        <v>364</v>
      </c>
      <c r="I68" s="13"/>
      <c r="J68" s="13"/>
      <c r="K68" s="15"/>
      <c r="L68" s="15">
        <f>'[5]Раздел №1'!$I$42</f>
        <v>582.9</v>
      </c>
      <c r="M68" s="24"/>
      <c r="N68" s="24">
        <f t="shared" si="1"/>
        <v>8</v>
      </c>
      <c r="O68" s="7" t="s">
        <v>441</v>
      </c>
      <c r="P68" s="122"/>
      <c r="Q68" s="122"/>
      <c r="R68" s="122"/>
      <c r="S68" s="122"/>
      <c r="T68" s="122"/>
      <c r="U68" s="122"/>
      <c r="V68" s="122"/>
      <c r="W68" s="122"/>
      <c r="X68" s="122"/>
      <c r="Y68" s="122"/>
    </row>
    <row r="69" spans="1:25" ht="12.75" customHeight="1" hidden="1" outlineLevel="2">
      <c r="A69" s="20"/>
      <c r="B69" s="21"/>
      <c r="C69" s="22" t="s">
        <v>61</v>
      </c>
      <c r="D69" s="13" t="s">
        <v>33</v>
      </c>
      <c r="E69" s="16">
        <f>0.016*1000/100</f>
        <v>0.16</v>
      </c>
      <c r="F69" s="17">
        <f>9712.71/1010*1.096*1.25*1.18*1.074*1.118*1.091*1.078*1.077*1.08</f>
        <v>25.54</v>
      </c>
      <c r="G69" s="13"/>
      <c r="H69" s="13" t="s">
        <v>364</v>
      </c>
      <c r="I69" s="13"/>
      <c r="J69" s="13"/>
      <c r="K69" s="15"/>
      <c r="L69" s="15">
        <f>'[5]Раздел №1'!$I$42</f>
        <v>582.9</v>
      </c>
      <c r="M69" s="24"/>
      <c r="N69" s="24">
        <f t="shared" si="1"/>
        <v>4.1</v>
      </c>
      <c r="O69" s="7" t="s">
        <v>446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1:25" ht="16.5" customHeight="1" outlineLevel="1" collapsed="1">
      <c r="A70" s="20" t="s">
        <v>656</v>
      </c>
      <c r="B70" s="21" t="s">
        <v>68</v>
      </c>
      <c r="C70" s="22"/>
      <c r="D70" s="13"/>
      <c r="E70" s="16"/>
      <c r="F70" s="32"/>
      <c r="G70" s="13" t="s">
        <v>23</v>
      </c>
      <c r="H70" s="13" t="s">
        <v>363</v>
      </c>
      <c r="I70" s="17">
        <f>191.3/100</f>
        <v>1.91</v>
      </c>
      <c r="J70" s="15">
        <v>1.2</v>
      </c>
      <c r="K70" s="17">
        <f>I70*J70</f>
        <v>2.29</v>
      </c>
      <c r="L70" s="15">
        <f>'[5]Раздел №1'!$I$42</f>
        <v>582.9</v>
      </c>
      <c r="M70" s="24">
        <f>K70*L70</f>
        <v>1334.8</v>
      </c>
      <c r="N70" s="24">
        <f>SUM(N71:N75)</f>
        <v>28.2</v>
      </c>
      <c r="P70" s="122"/>
      <c r="Q70" s="122"/>
      <c r="R70" s="122"/>
      <c r="S70" s="122"/>
      <c r="T70" s="122"/>
      <c r="U70" s="122"/>
      <c r="V70" s="122"/>
      <c r="W70" s="122"/>
      <c r="X70" s="122"/>
      <c r="Y70" s="122"/>
    </row>
    <row r="71" spans="1:25" ht="12.75" customHeight="1" hidden="1" outlineLevel="2">
      <c r="A71" s="20"/>
      <c r="B71" s="21"/>
      <c r="C71" s="22" t="s">
        <v>101</v>
      </c>
      <c r="D71" s="13" t="s">
        <v>41</v>
      </c>
      <c r="E71" s="16">
        <f>100/100</f>
        <v>1</v>
      </c>
      <c r="F71" s="17"/>
      <c r="G71" s="13"/>
      <c r="H71" s="13" t="s">
        <v>363</v>
      </c>
      <c r="I71" s="13"/>
      <c r="J71" s="13"/>
      <c r="K71" s="15"/>
      <c r="L71" s="15">
        <f>'[5]Раздел №1'!$I$42</f>
        <v>582.9</v>
      </c>
      <c r="M71" s="24"/>
      <c r="N71" s="24">
        <f>E71*F71</f>
        <v>0</v>
      </c>
      <c r="O71" s="7" t="s">
        <v>451</v>
      </c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1:25" ht="12.75" customHeight="1" hidden="1" outlineLevel="2">
      <c r="A72" s="20"/>
      <c r="B72" s="21"/>
      <c r="C72" s="22" t="s">
        <v>66</v>
      </c>
      <c r="D72" s="13" t="s">
        <v>33</v>
      </c>
      <c r="E72" s="16">
        <f>0.008*1000/100</f>
        <v>0.08</v>
      </c>
      <c r="F72" s="17">
        <f>63311.4/1120*1.18*1.096*1.25*1.074*1.118*1.091*1.078*1.077*1.08</f>
        <v>150.11</v>
      </c>
      <c r="G72" s="13"/>
      <c r="H72" s="13" t="s">
        <v>363</v>
      </c>
      <c r="I72" s="13"/>
      <c r="J72" s="13"/>
      <c r="K72" s="15"/>
      <c r="L72" s="15">
        <f>'[5]Раздел №1'!$I$42</f>
        <v>582.9</v>
      </c>
      <c r="M72" s="24"/>
      <c r="N72" s="24">
        <f>E72*F72</f>
        <v>12</v>
      </c>
      <c r="O72" s="7" t="s">
        <v>475</v>
      </c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1:25" ht="12.75" customHeight="1" hidden="1" outlineLevel="2">
      <c r="A73" s="20"/>
      <c r="B73" s="21"/>
      <c r="C73" s="22" t="s">
        <v>63</v>
      </c>
      <c r="D73" s="13" t="s">
        <v>33</v>
      </c>
      <c r="E73" s="16">
        <f>0.007*1000/100</f>
        <v>0.07</v>
      </c>
      <c r="F73" s="17">
        <f>24426.83/1120*1.096*1.25*1.18*1.074*1.118*1.091*1.078*1.077*1.08</f>
        <v>57.91</v>
      </c>
      <c r="G73" s="13"/>
      <c r="H73" s="13" t="s">
        <v>363</v>
      </c>
      <c r="I73" s="13"/>
      <c r="J73" s="13"/>
      <c r="K73" s="15"/>
      <c r="L73" s="15">
        <f>'[5]Раздел №1'!$I$42</f>
        <v>582.9</v>
      </c>
      <c r="M73" s="24"/>
      <c r="N73" s="24">
        <f>E73*F73</f>
        <v>4.1</v>
      </c>
      <c r="O73" s="7" t="s">
        <v>445</v>
      </c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1:25" ht="12.75" customHeight="1" hidden="1" outlineLevel="2">
      <c r="A74" s="20"/>
      <c r="B74" s="21"/>
      <c r="C74" s="22" t="s">
        <v>62</v>
      </c>
      <c r="D74" s="13" t="s">
        <v>33</v>
      </c>
      <c r="E74" s="16">
        <f>0.006*1000/100</f>
        <v>0.06</v>
      </c>
      <c r="F74" s="17">
        <f>49916.37/1000*1.18*1.096*1.25*1.074*1.118*1.091*1.078*1.077*1.08</f>
        <v>132.55</v>
      </c>
      <c r="G74" s="13"/>
      <c r="H74" s="13" t="s">
        <v>363</v>
      </c>
      <c r="I74" s="13"/>
      <c r="J74" s="13"/>
      <c r="K74" s="15"/>
      <c r="L74" s="15">
        <f>'[5]Раздел №1'!$I$42</f>
        <v>582.9</v>
      </c>
      <c r="M74" s="24"/>
      <c r="N74" s="24">
        <f>E74*F74</f>
        <v>8</v>
      </c>
      <c r="O74" s="7" t="s">
        <v>441</v>
      </c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 ht="12.75" customHeight="1" hidden="1" outlineLevel="2">
      <c r="A75" s="20"/>
      <c r="B75" s="21"/>
      <c r="C75" s="22" t="s">
        <v>61</v>
      </c>
      <c r="D75" s="13" t="s">
        <v>33</v>
      </c>
      <c r="E75" s="16">
        <f>0.016*1000/100</f>
        <v>0.16</v>
      </c>
      <c r="F75" s="17">
        <f>9712.71/1010*1.096*1.25*1.18*1.074*1.118*1.091*1.078*1.077*1.08</f>
        <v>25.54</v>
      </c>
      <c r="G75" s="13"/>
      <c r="H75" s="13" t="s">
        <v>363</v>
      </c>
      <c r="I75" s="13"/>
      <c r="J75" s="13"/>
      <c r="K75" s="15"/>
      <c r="L75" s="15">
        <f>'[5]Раздел №1'!$I$42</f>
        <v>582.9</v>
      </c>
      <c r="M75" s="24"/>
      <c r="N75" s="24">
        <f>E75*F75</f>
        <v>4.1</v>
      </c>
      <c r="O75" s="7" t="s">
        <v>446</v>
      </c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1:25" ht="15.75" customHeight="1" outlineLevel="1" collapsed="1">
      <c r="A76" s="20" t="s">
        <v>657</v>
      </c>
      <c r="B76" s="21" t="s">
        <v>69</v>
      </c>
      <c r="C76" s="22"/>
      <c r="D76" s="13"/>
      <c r="E76" s="16"/>
      <c r="F76" s="32"/>
      <c r="G76" s="13" t="s">
        <v>23</v>
      </c>
      <c r="H76" s="13" t="s">
        <v>362</v>
      </c>
      <c r="I76" s="17">
        <f>139.7/100</f>
        <v>1.4</v>
      </c>
      <c r="J76" s="15">
        <v>1.2</v>
      </c>
      <c r="K76" s="17">
        <f>I76*J76</f>
        <v>1.68</v>
      </c>
      <c r="L76" s="15">
        <f>'[5]Раздел №1'!$I$42</f>
        <v>582.9</v>
      </c>
      <c r="M76" s="24">
        <f>K76*L76</f>
        <v>979.3</v>
      </c>
      <c r="N76" s="24">
        <f>SUM(N77:N82)</f>
        <v>25.3</v>
      </c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1:25" ht="12.75" customHeight="1" hidden="1" outlineLevel="2">
      <c r="A77" s="20"/>
      <c r="B77" s="21"/>
      <c r="C77" s="22" t="s">
        <v>70</v>
      </c>
      <c r="D77" s="13" t="s">
        <v>41</v>
      </c>
      <c r="E77" s="16">
        <f>100/100</f>
        <v>1</v>
      </c>
      <c r="F77" s="17"/>
      <c r="G77" s="13" t="s">
        <v>1047</v>
      </c>
      <c r="H77" s="13" t="s">
        <v>362</v>
      </c>
      <c r="I77" s="13"/>
      <c r="J77" s="13"/>
      <c r="K77" s="17">
        <f aca="true" t="shared" si="2" ref="K77:K83">I77*J77</f>
        <v>0</v>
      </c>
      <c r="L77" s="15">
        <f>'[5]Раздел №1'!$I$42</f>
        <v>582.9</v>
      </c>
      <c r="M77" s="24"/>
      <c r="N77" s="24">
        <f aca="true" t="shared" si="3" ref="N77:N82">E77*F77</f>
        <v>0</v>
      </c>
      <c r="O77" s="7" t="s">
        <v>487</v>
      </c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ht="12.75" customHeight="1" hidden="1" outlineLevel="2">
      <c r="A78" s="20"/>
      <c r="B78" s="21"/>
      <c r="C78" s="22" t="s">
        <v>56</v>
      </c>
      <c r="D78" s="13" t="s">
        <v>33</v>
      </c>
      <c r="E78" s="16">
        <f>0.005*1000/100</f>
        <v>0.05</v>
      </c>
      <c r="F78" s="17">
        <f>49207.49/1110*1.18*1.096*1.25*1.074*1.118*1.091*1.078*1.077*1.08</f>
        <v>117.72</v>
      </c>
      <c r="G78" s="13" t="s">
        <v>999</v>
      </c>
      <c r="H78" s="13" t="s">
        <v>362</v>
      </c>
      <c r="I78" s="13"/>
      <c r="J78" s="13"/>
      <c r="K78" s="17">
        <f t="shared" si="2"/>
        <v>0</v>
      </c>
      <c r="L78" s="15">
        <f>'[5]Раздел №1'!$I$42</f>
        <v>582.9</v>
      </c>
      <c r="M78" s="24"/>
      <c r="N78" s="24">
        <f t="shared" si="3"/>
        <v>5.9</v>
      </c>
      <c r="O78" s="7" t="s">
        <v>448</v>
      </c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2.75" customHeight="1" hidden="1" outlineLevel="2">
      <c r="A79" s="20"/>
      <c r="B79" s="21"/>
      <c r="C79" s="22" t="s">
        <v>66</v>
      </c>
      <c r="D79" s="13" t="s">
        <v>33</v>
      </c>
      <c r="E79" s="16">
        <f>0.005*1000/100</f>
        <v>0.05</v>
      </c>
      <c r="F79" s="17">
        <f>63311.4/1120*1.18*1.096*1.25*1.074*1.118*1.091*1.078*1.077*1.08</f>
        <v>150.11</v>
      </c>
      <c r="G79" s="13" t="s">
        <v>1000</v>
      </c>
      <c r="H79" s="13" t="s">
        <v>362</v>
      </c>
      <c r="I79" s="13"/>
      <c r="J79" s="13"/>
      <c r="K79" s="17">
        <f t="shared" si="2"/>
        <v>0</v>
      </c>
      <c r="L79" s="15">
        <f>'[5]Раздел №1'!$I$42</f>
        <v>582.9</v>
      </c>
      <c r="M79" s="24"/>
      <c r="N79" s="24">
        <f t="shared" si="3"/>
        <v>7.5</v>
      </c>
      <c r="O79" s="7" t="s">
        <v>475</v>
      </c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ht="12.75" customHeight="1" hidden="1" outlineLevel="2">
      <c r="A80" s="20"/>
      <c r="B80" s="21"/>
      <c r="C80" s="22" t="s">
        <v>63</v>
      </c>
      <c r="D80" s="13" t="s">
        <v>33</v>
      </c>
      <c r="E80" s="16">
        <f>0.004*1000/100</f>
        <v>0.04</v>
      </c>
      <c r="F80" s="17">
        <f>24426.83/1120*1.096*1.25*1.18*1.074*1.118*1.091*1.078*1.077*1.08</f>
        <v>57.91</v>
      </c>
      <c r="G80" s="13" t="s">
        <v>1001</v>
      </c>
      <c r="H80" s="13" t="s">
        <v>362</v>
      </c>
      <c r="I80" s="13"/>
      <c r="J80" s="13"/>
      <c r="K80" s="17">
        <f t="shared" si="2"/>
        <v>0</v>
      </c>
      <c r="L80" s="15">
        <f>'[5]Раздел №1'!$I$42</f>
        <v>582.9</v>
      </c>
      <c r="M80" s="24"/>
      <c r="N80" s="24">
        <f t="shared" si="3"/>
        <v>2.3</v>
      </c>
      <c r="O80" s="7" t="s">
        <v>445</v>
      </c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ht="12.75" customHeight="1" hidden="1" outlineLevel="2">
      <c r="A81" s="20"/>
      <c r="B81" s="21"/>
      <c r="C81" s="22" t="s">
        <v>57</v>
      </c>
      <c r="D81" s="13" t="s">
        <v>33</v>
      </c>
      <c r="E81" s="16">
        <f>2.6/100</f>
        <v>0.026</v>
      </c>
      <c r="F81" s="17">
        <f>82.28*1.096*1.25*1.18*1.074*1.118*1.091*1.078*1.077*1.08</f>
        <v>218.49</v>
      </c>
      <c r="G81" s="13" t="s">
        <v>1002</v>
      </c>
      <c r="H81" s="13" t="s">
        <v>362</v>
      </c>
      <c r="I81" s="13"/>
      <c r="J81" s="13"/>
      <c r="K81" s="17">
        <f t="shared" si="2"/>
        <v>0</v>
      </c>
      <c r="L81" s="15">
        <f>'[5]Раздел №1'!$I$42</f>
        <v>582.9</v>
      </c>
      <c r="M81" s="24"/>
      <c r="N81" s="24">
        <f t="shared" si="3"/>
        <v>5.7</v>
      </c>
      <c r="O81" s="7" t="s">
        <v>444</v>
      </c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2.75" customHeight="1" hidden="1" outlineLevel="2">
      <c r="A82" s="20"/>
      <c r="B82" s="21"/>
      <c r="C82" s="22" t="s">
        <v>58</v>
      </c>
      <c r="D82" s="13" t="s">
        <v>33</v>
      </c>
      <c r="E82" s="16">
        <f>0.0024*1000/100</f>
        <v>0.024</v>
      </c>
      <c r="F82" s="17">
        <f>74.29/1.2*1.096*1.25*1.18*1.074*1.118*1.091*1.078*1.077*1.08</f>
        <v>164.39</v>
      </c>
      <c r="G82" s="13" t="s">
        <v>1003</v>
      </c>
      <c r="H82" s="13" t="s">
        <v>362</v>
      </c>
      <c r="I82" s="13"/>
      <c r="J82" s="13"/>
      <c r="K82" s="17">
        <f t="shared" si="2"/>
        <v>0</v>
      </c>
      <c r="L82" s="15">
        <f>'[5]Раздел №1'!$I$42</f>
        <v>582.9</v>
      </c>
      <c r="M82" s="24"/>
      <c r="N82" s="24">
        <f t="shared" si="3"/>
        <v>3.9</v>
      </c>
      <c r="O82" s="7" t="s">
        <v>442</v>
      </c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1:25" ht="15" customHeight="1" outlineLevel="1" collapsed="1">
      <c r="A83" s="20" t="s">
        <v>658</v>
      </c>
      <c r="B83" s="21" t="s">
        <v>998</v>
      </c>
      <c r="C83" s="22"/>
      <c r="D83" s="13"/>
      <c r="E83" s="16"/>
      <c r="F83" s="32"/>
      <c r="G83" s="13" t="s">
        <v>23</v>
      </c>
      <c r="H83" s="13" t="s">
        <v>997</v>
      </c>
      <c r="I83" s="13">
        <v>0.39</v>
      </c>
      <c r="J83" s="15">
        <v>1</v>
      </c>
      <c r="K83" s="17">
        <f t="shared" si="2"/>
        <v>0.39</v>
      </c>
      <c r="L83" s="15">
        <f>'[5]Раздел №1'!$I$42</f>
        <v>582.9</v>
      </c>
      <c r="M83" s="24">
        <f>K83*L83</f>
        <v>227.3</v>
      </c>
      <c r="N83" s="24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1:25" ht="12.75" customHeight="1" hidden="1" outlineLevel="2">
      <c r="A84" s="20"/>
      <c r="B84" s="21"/>
      <c r="C84" s="22" t="s">
        <v>77</v>
      </c>
      <c r="D84" s="13" t="s">
        <v>41</v>
      </c>
      <c r="E84" s="16">
        <v>1</v>
      </c>
      <c r="F84" s="17"/>
      <c r="G84" s="13"/>
      <c r="H84" s="13" t="s">
        <v>79</v>
      </c>
      <c r="I84" s="13"/>
      <c r="J84" s="13"/>
      <c r="K84" s="15"/>
      <c r="L84" s="15">
        <f>'[5]Раздел №1'!$I$42</f>
        <v>582.9</v>
      </c>
      <c r="M84" s="24"/>
      <c r="N84" s="24">
        <f aca="true" t="shared" si="4" ref="N84:N89">E84*F84</f>
        <v>0</v>
      </c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5" ht="12.75" customHeight="1" hidden="1" outlineLevel="2">
      <c r="A85" s="20"/>
      <c r="B85" s="21"/>
      <c r="C85" s="22" t="s">
        <v>78</v>
      </c>
      <c r="D85" s="13" t="s">
        <v>33</v>
      </c>
      <c r="E85" s="16">
        <v>0.188</v>
      </c>
      <c r="F85" s="17"/>
      <c r="G85" s="13"/>
      <c r="H85" s="13" t="s">
        <v>79</v>
      </c>
      <c r="I85" s="13"/>
      <c r="J85" s="13"/>
      <c r="K85" s="15"/>
      <c r="L85" s="15">
        <f>'[5]Раздел №1'!$I$42</f>
        <v>582.9</v>
      </c>
      <c r="M85" s="24"/>
      <c r="N85" s="24">
        <f t="shared" si="4"/>
        <v>0</v>
      </c>
      <c r="O85" s="7" t="s">
        <v>489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15" ht="12.75" customHeight="1" hidden="1" outlineLevel="2">
      <c r="A86" s="20"/>
      <c r="B86" s="21"/>
      <c r="C86" s="22" t="s">
        <v>80</v>
      </c>
      <c r="D86" s="13" t="s">
        <v>41</v>
      </c>
      <c r="E86" s="16">
        <f>100/100</f>
        <v>1</v>
      </c>
      <c r="F86" s="17"/>
      <c r="G86" s="13"/>
      <c r="H86" s="13" t="s">
        <v>361</v>
      </c>
      <c r="I86" s="13"/>
      <c r="J86" s="13"/>
      <c r="K86" s="15"/>
      <c r="L86" s="15">
        <f>'[5]Раздел №1'!$I$42</f>
        <v>582.9</v>
      </c>
      <c r="M86" s="24"/>
      <c r="N86" s="24">
        <f t="shared" si="4"/>
        <v>0</v>
      </c>
      <c r="O86" s="7" t="s">
        <v>449</v>
      </c>
    </row>
    <row r="87" spans="1:15" ht="12.75" customHeight="1" hidden="1" outlineLevel="2">
      <c r="A87" s="20"/>
      <c r="B87" s="21"/>
      <c r="C87" s="22" t="s">
        <v>63</v>
      </c>
      <c r="D87" s="13" t="s">
        <v>33</v>
      </c>
      <c r="E87" s="16">
        <f>0.0043*1000/100</f>
        <v>0.043</v>
      </c>
      <c r="F87" s="17">
        <f>24426.83/1120*1.096*1.25*1.18*1.074*1.118*1.091*1.078*1.077*1.08</f>
        <v>57.91</v>
      </c>
      <c r="G87" s="13"/>
      <c r="H87" s="13" t="s">
        <v>361</v>
      </c>
      <c r="I87" s="13"/>
      <c r="J87" s="13"/>
      <c r="K87" s="15"/>
      <c r="L87" s="15">
        <f>'[5]Раздел №1'!$I$42</f>
        <v>582.9</v>
      </c>
      <c r="M87" s="24"/>
      <c r="N87" s="24">
        <f t="shared" si="4"/>
        <v>2.5</v>
      </c>
      <c r="O87" s="7" t="s">
        <v>445</v>
      </c>
    </row>
    <row r="88" spans="1:15" ht="12.75" customHeight="1" hidden="1" outlineLevel="2">
      <c r="A88" s="20"/>
      <c r="B88" s="21"/>
      <c r="C88" s="22" t="s">
        <v>61</v>
      </c>
      <c r="D88" s="13" t="s">
        <v>33</v>
      </c>
      <c r="E88" s="16">
        <f>0.02*1000/100</f>
        <v>0.2</v>
      </c>
      <c r="F88" s="17">
        <f>9712.71/1010*1.096*1.25*1.18*1.074*1.091*1.078*1.077*1.08</f>
        <v>22.84</v>
      </c>
      <c r="G88" s="13"/>
      <c r="H88" s="13" t="s">
        <v>361</v>
      </c>
      <c r="I88" s="13"/>
      <c r="J88" s="13"/>
      <c r="K88" s="15"/>
      <c r="L88" s="15">
        <f>'[5]Раздел №1'!$I$42</f>
        <v>582.9</v>
      </c>
      <c r="M88" s="24"/>
      <c r="N88" s="24">
        <f t="shared" si="4"/>
        <v>4.6</v>
      </c>
      <c r="O88" s="7" t="s">
        <v>446</v>
      </c>
    </row>
    <row r="89" spans="1:15" ht="12.75" customHeight="1" hidden="1" outlineLevel="2">
      <c r="A89" s="20"/>
      <c r="B89" s="21"/>
      <c r="C89" s="22" t="s">
        <v>62</v>
      </c>
      <c r="D89" s="13" t="s">
        <v>33</v>
      </c>
      <c r="E89" s="16">
        <f>0.0035*1000/100</f>
        <v>0.035</v>
      </c>
      <c r="F89" s="17">
        <f>49916.37/1000*1.18*1.096*1.25*1.074*1.118*1.091*1.078*1.077*1.08</f>
        <v>132.55</v>
      </c>
      <c r="G89" s="13"/>
      <c r="H89" s="13" t="s">
        <v>361</v>
      </c>
      <c r="I89" s="13"/>
      <c r="J89" s="13"/>
      <c r="K89" s="15"/>
      <c r="L89" s="15">
        <f>'[5]Раздел №1'!$I$42</f>
        <v>582.9</v>
      </c>
      <c r="M89" s="24"/>
      <c r="N89" s="24">
        <f t="shared" si="4"/>
        <v>4.6</v>
      </c>
      <c r="O89" s="7" t="s">
        <v>441</v>
      </c>
    </row>
    <row r="90" spans="1:14" ht="15" customHeight="1" outlineLevel="1" collapsed="1">
      <c r="A90" s="20" t="s">
        <v>659</v>
      </c>
      <c r="B90" s="21" t="s">
        <v>81</v>
      </c>
      <c r="C90" s="22"/>
      <c r="D90" s="13"/>
      <c r="E90" s="16"/>
      <c r="F90" s="32"/>
      <c r="G90" s="13" t="s">
        <v>23</v>
      </c>
      <c r="H90" s="13" t="s">
        <v>360</v>
      </c>
      <c r="I90" s="17">
        <f>412.7/100</f>
        <v>4.13</v>
      </c>
      <c r="J90" s="15">
        <v>1</v>
      </c>
      <c r="K90" s="17">
        <f>I90*J90</f>
        <v>4.13</v>
      </c>
      <c r="L90" s="15">
        <v>449.7</v>
      </c>
      <c r="M90" s="24">
        <f>K90*L90</f>
        <v>1857.3</v>
      </c>
      <c r="N90" s="24">
        <f>SUM(N91:N98)</f>
        <v>22.4</v>
      </c>
    </row>
    <row r="91" spans="1:15" ht="12.75" customHeight="1" hidden="1" outlineLevel="2">
      <c r="A91" s="20"/>
      <c r="B91" s="21"/>
      <c r="C91" s="22" t="s">
        <v>102</v>
      </c>
      <c r="D91" s="13" t="s">
        <v>41</v>
      </c>
      <c r="E91" s="16">
        <f>100/100</f>
        <v>1</v>
      </c>
      <c r="F91" s="17"/>
      <c r="G91" s="13"/>
      <c r="H91" s="13" t="s">
        <v>360</v>
      </c>
      <c r="I91" s="13"/>
      <c r="J91" s="13"/>
      <c r="K91" s="15"/>
      <c r="L91" s="15">
        <f>'[5]Раздел №1'!$I$42</f>
        <v>582.9</v>
      </c>
      <c r="M91" s="24"/>
      <c r="N91" s="24">
        <f aca="true" t="shared" si="5" ref="N91:N98">E91*F91</f>
        <v>0</v>
      </c>
      <c r="O91" s="7" t="s">
        <v>450</v>
      </c>
    </row>
    <row r="92" spans="1:15" ht="12.75" customHeight="1" hidden="1" outlineLevel="2">
      <c r="A92" s="20"/>
      <c r="B92" s="21"/>
      <c r="C92" s="22" t="s">
        <v>56</v>
      </c>
      <c r="D92" s="13" t="s">
        <v>33</v>
      </c>
      <c r="E92" s="16">
        <f>0.0026*1000/100</f>
        <v>0.026</v>
      </c>
      <c r="F92" s="17">
        <f>49207.49/1110*1.18*1.096*1.25*1.074*1.118*1.091*1.078*1.077*1.08</f>
        <v>117.72</v>
      </c>
      <c r="G92" s="13"/>
      <c r="H92" s="13" t="s">
        <v>360</v>
      </c>
      <c r="I92" s="13"/>
      <c r="J92" s="13"/>
      <c r="K92" s="15"/>
      <c r="L92" s="15">
        <f>'[5]Раздел №1'!$I$42</f>
        <v>582.9</v>
      </c>
      <c r="M92" s="24"/>
      <c r="N92" s="24">
        <f t="shared" si="5"/>
        <v>3.1</v>
      </c>
      <c r="O92" s="7" t="s">
        <v>448</v>
      </c>
    </row>
    <row r="93" spans="1:15" ht="12.75" customHeight="1" hidden="1" outlineLevel="2">
      <c r="A93" s="20"/>
      <c r="B93" s="21"/>
      <c r="C93" s="22" t="s">
        <v>63</v>
      </c>
      <c r="D93" s="13" t="s">
        <v>33</v>
      </c>
      <c r="E93" s="16">
        <f>0.0043*1000/100</f>
        <v>0.043</v>
      </c>
      <c r="F93" s="17">
        <f>24426.83/1120*1.096*1.25*1.18*1.074*1.118*1.091*1.078*1.077*1.08</f>
        <v>57.91</v>
      </c>
      <c r="G93" s="13"/>
      <c r="H93" s="13" t="s">
        <v>360</v>
      </c>
      <c r="I93" s="13"/>
      <c r="J93" s="13"/>
      <c r="K93" s="15"/>
      <c r="L93" s="15">
        <f>'[5]Раздел №1'!$I$42</f>
        <v>582.9</v>
      </c>
      <c r="M93" s="24"/>
      <c r="N93" s="24">
        <f t="shared" si="5"/>
        <v>2.5</v>
      </c>
      <c r="O93" s="7" t="s">
        <v>445</v>
      </c>
    </row>
    <row r="94" spans="1:15" ht="12.75" customHeight="1" hidden="1" outlineLevel="2">
      <c r="A94" s="20"/>
      <c r="B94" s="21"/>
      <c r="C94" s="22" t="s">
        <v>61</v>
      </c>
      <c r="D94" s="13" t="s">
        <v>33</v>
      </c>
      <c r="E94" s="16">
        <f>0.02*1000/100</f>
        <v>0.2</v>
      </c>
      <c r="F94" s="17">
        <f>9712.71/1010*1.096*1.25*1.18*1.074*1.118*1.091*1.078*1.077*1.08</f>
        <v>25.54</v>
      </c>
      <c r="G94" s="13"/>
      <c r="H94" s="13" t="s">
        <v>360</v>
      </c>
      <c r="I94" s="13"/>
      <c r="J94" s="13"/>
      <c r="K94" s="15"/>
      <c r="L94" s="15">
        <f>'[5]Раздел №1'!$I$42</f>
        <v>582.9</v>
      </c>
      <c r="M94" s="24"/>
      <c r="N94" s="24">
        <f t="shared" si="5"/>
        <v>5.1</v>
      </c>
      <c r="O94" s="7" t="s">
        <v>446</v>
      </c>
    </row>
    <row r="95" spans="1:15" ht="12.75" customHeight="1" hidden="1" outlineLevel="2">
      <c r="A95" s="20"/>
      <c r="B95" s="21"/>
      <c r="C95" s="22" t="s">
        <v>82</v>
      </c>
      <c r="D95" s="13" t="s">
        <v>33</v>
      </c>
      <c r="E95" s="16">
        <f>0.005*1000/100</f>
        <v>0.05</v>
      </c>
      <c r="F95" s="17">
        <f>20.32*1.096*1.25*1.18*1.074*1.118*1.091*1.078*1.077*1.08</f>
        <v>53.96</v>
      </c>
      <c r="G95" s="13"/>
      <c r="H95" s="13" t="s">
        <v>360</v>
      </c>
      <c r="I95" s="13"/>
      <c r="J95" s="13"/>
      <c r="K95" s="15"/>
      <c r="L95" s="15">
        <f>'[5]Раздел №1'!$I$42</f>
        <v>582.9</v>
      </c>
      <c r="M95" s="24"/>
      <c r="N95" s="24">
        <f t="shared" si="5"/>
        <v>2.7</v>
      </c>
      <c r="O95" s="7" t="s">
        <v>461</v>
      </c>
    </row>
    <row r="96" spans="1:15" ht="12.75" customHeight="1" hidden="1" outlineLevel="2">
      <c r="A96" s="20"/>
      <c r="B96" s="21"/>
      <c r="C96" s="22" t="s">
        <v>62</v>
      </c>
      <c r="D96" s="13" t="s">
        <v>33</v>
      </c>
      <c r="E96" s="16">
        <f>0.0035*1000/100</f>
        <v>0.035</v>
      </c>
      <c r="F96" s="17">
        <f>49916.37/1000*1.18*1.096*1.25*1.074*1.118*1.091*1.078*1.077*1.08</f>
        <v>132.55</v>
      </c>
      <c r="G96" s="13"/>
      <c r="H96" s="13" t="s">
        <v>360</v>
      </c>
      <c r="I96" s="13"/>
      <c r="J96" s="13"/>
      <c r="K96" s="15"/>
      <c r="L96" s="15">
        <f>'[5]Раздел №1'!$I$42</f>
        <v>582.9</v>
      </c>
      <c r="M96" s="24"/>
      <c r="N96" s="24">
        <f t="shared" si="5"/>
        <v>4.6</v>
      </c>
      <c r="O96" s="7" t="s">
        <v>441</v>
      </c>
    </row>
    <row r="97" spans="1:15" ht="12.75" customHeight="1" hidden="1" outlineLevel="2">
      <c r="A97" s="20"/>
      <c r="B97" s="21"/>
      <c r="C97" s="22" t="s">
        <v>57</v>
      </c>
      <c r="D97" s="13" t="s">
        <v>33</v>
      </c>
      <c r="E97" s="16">
        <f>1.05/100</f>
        <v>0.011</v>
      </c>
      <c r="F97" s="17">
        <f>82.28*1.096*1.25*1.18*1.074*1.118*1.091*1.078*1.077*1.08</f>
        <v>218.49</v>
      </c>
      <c r="G97" s="13"/>
      <c r="H97" s="13" t="s">
        <v>360</v>
      </c>
      <c r="I97" s="13"/>
      <c r="J97" s="13"/>
      <c r="K97" s="15"/>
      <c r="L97" s="15">
        <f>'[5]Раздел №1'!$I$42</f>
        <v>582.9</v>
      </c>
      <c r="M97" s="24"/>
      <c r="N97" s="24">
        <f t="shared" si="5"/>
        <v>2.4</v>
      </c>
      <c r="O97" s="7" t="s">
        <v>444</v>
      </c>
    </row>
    <row r="98" spans="1:15" ht="12.75" customHeight="1" hidden="1" outlineLevel="2">
      <c r="A98" s="20"/>
      <c r="B98" s="21"/>
      <c r="C98" s="22" t="s">
        <v>58</v>
      </c>
      <c r="D98" s="13" t="s">
        <v>33</v>
      </c>
      <c r="E98" s="16">
        <f>0.0012*1000/100</f>
        <v>0.012</v>
      </c>
      <c r="F98" s="17">
        <f>74.29/1.2*1.096*1.25*1.18*1.074*1.118*1.091*1.078*1.077*1.08</f>
        <v>164.39</v>
      </c>
      <c r="G98" s="13"/>
      <c r="H98" s="13" t="s">
        <v>360</v>
      </c>
      <c r="I98" s="13"/>
      <c r="J98" s="13"/>
      <c r="K98" s="15"/>
      <c r="L98" s="15">
        <f>'[5]Раздел №1'!$I$42</f>
        <v>582.9</v>
      </c>
      <c r="M98" s="24"/>
      <c r="N98" s="24">
        <f t="shared" si="5"/>
        <v>2</v>
      </c>
      <c r="O98" s="7" t="s">
        <v>442</v>
      </c>
    </row>
    <row r="99" spans="1:14" ht="16.5" customHeight="1" outlineLevel="1" collapsed="1">
      <c r="A99" s="20" t="s">
        <v>660</v>
      </c>
      <c r="B99" s="21" t="s">
        <v>2</v>
      </c>
      <c r="C99" s="22"/>
      <c r="D99" s="13"/>
      <c r="E99" s="16"/>
      <c r="F99" s="32"/>
      <c r="G99" s="13" t="s">
        <v>23</v>
      </c>
      <c r="H99" s="13" t="s">
        <v>359</v>
      </c>
      <c r="I99" s="17">
        <f>100/100</f>
        <v>1</v>
      </c>
      <c r="J99" s="15">
        <v>1.2</v>
      </c>
      <c r="K99" s="17">
        <f>I99*J99</f>
        <v>1.2</v>
      </c>
      <c r="L99" s="15">
        <f>'[5]Раздел №1'!$I$42</f>
        <v>582.9</v>
      </c>
      <c r="M99" s="24">
        <f>K99*L99</f>
        <v>699.5</v>
      </c>
      <c r="N99" s="24">
        <f>SUM(N100:N105)</f>
        <v>865.4</v>
      </c>
    </row>
    <row r="100" spans="1:15" ht="12.75" customHeight="1" hidden="1" outlineLevel="2">
      <c r="A100" s="20"/>
      <c r="B100" s="21"/>
      <c r="C100" s="22" t="s">
        <v>83</v>
      </c>
      <c r="D100" s="13" t="s">
        <v>41</v>
      </c>
      <c r="E100" s="16">
        <f>100/100</f>
        <v>1</v>
      </c>
      <c r="F100" s="17">
        <f>265.94*1.096*1.25*1.18*1.074*1.118*1.091*1.078*1.077*1.08</f>
        <v>706.18</v>
      </c>
      <c r="G100" s="13"/>
      <c r="H100" s="13" t="s">
        <v>359</v>
      </c>
      <c r="I100" s="13"/>
      <c r="J100" s="13"/>
      <c r="K100" s="15"/>
      <c r="L100" s="15">
        <f>'[5]Раздел №1'!$I$42</f>
        <v>582.9</v>
      </c>
      <c r="M100" s="24"/>
      <c r="N100" s="24">
        <f aca="true" t="shared" si="6" ref="N100:N106">E100*F100</f>
        <v>706.2</v>
      </c>
      <c r="O100" s="7" t="s">
        <v>458</v>
      </c>
    </row>
    <row r="101" spans="1:15" ht="12.75" customHeight="1" hidden="1" outlineLevel="2">
      <c r="A101" s="20"/>
      <c r="B101" s="21"/>
      <c r="C101" s="22" t="s">
        <v>56</v>
      </c>
      <c r="D101" s="13" t="s">
        <v>33</v>
      </c>
      <c r="E101" s="16">
        <f>0.0018*1000/100</f>
        <v>0.018</v>
      </c>
      <c r="F101" s="17">
        <f>49207.49/1110*1.18*1.096*1.25*1.074*1.118*1.091*1.078*1.077*1.08</f>
        <v>117.72</v>
      </c>
      <c r="G101" s="13"/>
      <c r="H101" s="13" t="s">
        <v>359</v>
      </c>
      <c r="I101" s="13"/>
      <c r="J101" s="13"/>
      <c r="K101" s="15"/>
      <c r="L101" s="15">
        <f>'[5]Раздел №1'!$I$42</f>
        <v>582.9</v>
      </c>
      <c r="M101" s="24"/>
      <c r="N101" s="24">
        <f t="shared" si="6"/>
        <v>2.1</v>
      </c>
      <c r="O101" s="7" t="s">
        <v>448</v>
      </c>
    </row>
    <row r="102" spans="1:15" ht="12.75" customHeight="1" hidden="1" outlineLevel="2">
      <c r="A102" s="20"/>
      <c r="B102" s="21"/>
      <c r="C102" s="22" t="s">
        <v>82</v>
      </c>
      <c r="D102" s="13" t="s">
        <v>33</v>
      </c>
      <c r="E102" s="16">
        <f>0.005*1000/100</f>
        <v>0.05</v>
      </c>
      <c r="F102" s="17">
        <f>20.32*1.096*1.25*1.18*1.074*1.118*1.091*1.078*1.077*1.08</f>
        <v>53.96</v>
      </c>
      <c r="G102" s="13"/>
      <c r="H102" s="13" t="s">
        <v>359</v>
      </c>
      <c r="I102" s="13"/>
      <c r="J102" s="13"/>
      <c r="K102" s="15"/>
      <c r="L102" s="15">
        <f>'[5]Раздел №1'!$I$42</f>
        <v>582.9</v>
      </c>
      <c r="M102" s="24"/>
      <c r="N102" s="24">
        <f t="shared" si="6"/>
        <v>2.7</v>
      </c>
      <c r="O102" s="7" t="s">
        <v>461</v>
      </c>
    </row>
    <row r="103" spans="1:15" ht="12.75" customHeight="1" hidden="1" outlineLevel="2">
      <c r="A103" s="20"/>
      <c r="B103" s="21"/>
      <c r="C103" s="22" t="s">
        <v>57</v>
      </c>
      <c r="D103" s="13" t="s">
        <v>33</v>
      </c>
      <c r="E103" s="16">
        <f>0.61/100</f>
        <v>0.006</v>
      </c>
      <c r="F103" s="17">
        <f>82.28*1.096*1.25*1.18*1.074*1.118*1.091*1.078*1.077*1.08</f>
        <v>218.49</v>
      </c>
      <c r="G103" s="13"/>
      <c r="H103" s="13" t="s">
        <v>359</v>
      </c>
      <c r="I103" s="13"/>
      <c r="J103" s="13"/>
      <c r="K103" s="15"/>
      <c r="L103" s="15">
        <f>'[5]Раздел №1'!$I$42</f>
        <v>582.9</v>
      </c>
      <c r="M103" s="24"/>
      <c r="N103" s="24">
        <f t="shared" si="6"/>
        <v>1.3</v>
      </c>
      <c r="O103" s="7" t="s">
        <v>444</v>
      </c>
    </row>
    <row r="104" spans="1:15" ht="12.75" customHeight="1" hidden="1" outlineLevel="2">
      <c r="A104" s="20"/>
      <c r="B104" s="21"/>
      <c r="C104" s="22" t="s">
        <v>58</v>
      </c>
      <c r="D104" s="13" t="s">
        <v>33</v>
      </c>
      <c r="E104" s="16">
        <f>0.0006*1000/100</f>
        <v>0.006</v>
      </c>
      <c r="F104" s="17">
        <f>74.29/1.2*1.096*1.25*1.18*1.074*1.118*1.091*1.078*1.077*1.08</f>
        <v>164.39</v>
      </c>
      <c r="G104" s="13"/>
      <c r="H104" s="13" t="s">
        <v>359</v>
      </c>
      <c r="I104" s="13"/>
      <c r="J104" s="13"/>
      <c r="K104" s="15"/>
      <c r="L104" s="15">
        <f>'[5]Раздел №1'!$I$42</f>
        <v>582.9</v>
      </c>
      <c r="M104" s="24"/>
      <c r="N104" s="24">
        <f t="shared" si="6"/>
        <v>1</v>
      </c>
      <c r="O104" s="7" t="s">
        <v>442</v>
      </c>
    </row>
    <row r="105" spans="1:15" ht="12.75" customHeight="1" hidden="1" outlineLevel="2">
      <c r="A105" s="20"/>
      <c r="B105" s="21"/>
      <c r="C105" s="22" t="s">
        <v>84</v>
      </c>
      <c r="D105" s="13" t="s">
        <v>33</v>
      </c>
      <c r="E105" s="16">
        <f>100/100</f>
        <v>1</v>
      </c>
      <c r="F105" s="17">
        <f>52.58*1.089*1.096*1.25*1.18*1.074*1.118*1.091*1.078*1.077*1.08</f>
        <v>152.05</v>
      </c>
      <c r="G105" s="13"/>
      <c r="H105" s="13" t="s">
        <v>359</v>
      </c>
      <c r="I105" s="13"/>
      <c r="J105" s="13"/>
      <c r="K105" s="15"/>
      <c r="L105" s="15">
        <f>'[5]Раздел №1'!$I$42</f>
        <v>582.9</v>
      </c>
      <c r="M105" s="24"/>
      <c r="N105" s="24">
        <f t="shared" si="6"/>
        <v>152.1</v>
      </c>
      <c r="O105" s="7" t="s">
        <v>509</v>
      </c>
    </row>
    <row r="106" spans="1:14" ht="16.5" customHeight="1" outlineLevel="1" collapsed="1">
      <c r="A106" s="20" t="s">
        <v>661</v>
      </c>
      <c r="B106" s="21" t="s">
        <v>85</v>
      </c>
      <c r="C106" s="22"/>
      <c r="D106" s="13"/>
      <c r="E106" s="16"/>
      <c r="F106" s="32"/>
      <c r="G106" s="13" t="s">
        <v>23</v>
      </c>
      <c r="H106" s="13" t="s">
        <v>359</v>
      </c>
      <c r="I106" s="17">
        <f>0.39</f>
        <v>0.39</v>
      </c>
      <c r="J106" s="15">
        <v>1</v>
      </c>
      <c r="K106" s="17">
        <f>I106*J106</f>
        <v>0.39</v>
      </c>
      <c r="L106" s="15">
        <f>'[5]Раздел №1'!$I$42</f>
        <v>582.9</v>
      </c>
      <c r="M106" s="24">
        <f>K106*L106</f>
        <v>227.3</v>
      </c>
      <c r="N106" s="24">
        <f t="shared" si="6"/>
        <v>0</v>
      </c>
    </row>
    <row r="107" spans="1:14" ht="15.75" customHeight="1" outlineLevel="1">
      <c r="A107" s="20" t="s">
        <v>662</v>
      </c>
      <c r="B107" s="21" t="s">
        <v>86</v>
      </c>
      <c r="C107" s="22"/>
      <c r="D107" s="13"/>
      <c r="E107" s="16"/>
      <c r="F107" s="32"/>
      <c r="G107" s="13"/>
      <c r="H107" s="13"/>
      <c r="I107" s="13"/>
      <c r="J107" s="13"/>
      <c r="K107" s="15"/>
      <c r="L107" s="15"/>
      <c r="M107" s="24"/>
      <c r="N107" s="24"/>
    </row>
    <row r="108" spans="1:14" ht="15" customHeight="1" outlineLevel="1">
      <c r="A108" s="20"/>
      <c r="B108" s="21" t="s">
        <v>87</v>
      </c>
      <c r="C108" s="22"/>
      <c r="D108" s="13"/>
      <c r="E108" s="16"/>
      <c r="F108" s="32"/>
      <c r="G108" s="13" t="s">
        <v>91</v>
      </c>
      <c r="H108" s="13" t="s">
        <v>88</v>
      </c>
      <c r="I108" s="17">
        <v>0.72</v>
      </c>
      <c r="J108" s="15">
        <v>1</v>
      </c>
      <c r="K108" s="17">
        <f>I108*J108</f>
        <v>0.72</v>
      </c>
      <c r="L108" s="15">
        <f>'[5]Раздел №1'!$I$42</f>
        <v>582.9</v>
      </c>
      <c r="M108" s="24">
        <f>K108*L108</f>
        <v>419.7</v>
      </c>
      <c r="N108" s="24">
        <f>SUM(N109:N110)</f>
        <v>7.6</v>
      </c>
    </row>
    <row r="109" spans="1:15" ht="12.75" customHeight="1" hidden="1" outlineLevel="2">
      <c r="A109" s="20"/>
      <c r="B109" s="21"/>
      <c r="C109" s="65" t="s">
        <v>90</v>
      </c>
      <c r="D109" s="13" t="s">
        <v>41</v>
      </c>
      <c r="E109" s="16">
        <v>2</v>
      </c>
      <c r="F109" s="66"/>
      <c r="G109" s="13"/>
      <c r="H109" s="13" t="s">
        <v>88</v>
      </c>
      <c r="I109" s="13"/>
      <c r="J109" s="13"/>
      <c r="K109" s="15"/>
      <c r="L109" s="15">
        <f>'[5]Раздел №1'!$I$42</f>
        <v>582.9</v>
      </c>
      <c r="M109" s="24"/>
      <c r="N109" s="24">
        <f>E109*F109</f>
        <v>0</v>
      </c>
      <c r="O109" s="7" t="s">
        <v>459</v>
      </c>
    </row>
    <row r="110" spans="1:15" ht="12.75" customHeight="1" hidden="1" outlineLevel="2">
      <c r="A110" s="20"/>
      <c r="B110" s="21"/>
      <c r="C110" s="22" t="s">
        <v>63</v>
      </c>
      <c r="D110" s="13" t="s">
        <v>33</v>
      </c>
      <c r="E110" s="16">
        <v>0.132</v>
      </c>
      <c r="F110" s="17">
        <f>24426.83/1120*1.096*1.25*1.18*1.074*1.118*1.091*1.078*1.077*1.08</f>
        <v>57.91</v>
      </c>
      <c r="G110" s="13"/>
      <c r="H110" s="13" t="s">
        <v>88</v>
      </c>
      <c r="I110" s="13"/>
      <c r="J110" s="13"/>
      <c r="K110" s="15"/>
      <c r="L110" s="15">
        <f>'[5]Раздел №1'!$I$42</f>
        <v>582.9</v>
      </c>
      <c r="M110" s="24"/>
      <c r="N110" s="24">
        <f>E110*F110</f>
        <v>7.6</v>
      </c>
      <c r="O110" s="7" t="s">
        <v>445</v>
      </c>
    </row>
    <row r="111" spans="1:14" ht="15.75" customHeight="1" outlineLevel="1" collapsed="1">
      <c r="A111" s="20"/>
      <c r="B111" s="21" t="s">
        <v>89</v>
      </c>
      <c r="C111" s="22"/>
      <c r="D111" s="13"/>
      <c r="E111" s="16"/>
      <c r="F111" s="32"/>
      <c r="G111" s="13" t="s">
        <v>91</v>
      </c>
      <c r="H111" s="13" t="s">
        <v>88</v>
      </c>
      <c r="I111" s="17">
        <v>0.53</v>
      </c>
      <c r="J111" s="15">
        <v>1</v>
      </c>
      <c r="K111" s="17">
        <f>I111*J111</f>
        <v>0.53</v>
      </c>
      <c r="L111" s="15">
        <f>'[5]Раздел №1'!$I$42</f>
        <v>582.9</v>
      </c>
      <c r="M111" s="24">
        <f>K111*L111</f>
        <v>308.9</v>
      </c>
      <c r="N111" s="24">
        <f>SUM(N112:N113)</f>
        <v>3.8</v>
      </c>
    </row>
    <row r="112" spans="1:15" ht="12.75" customHeight="1" hidden="1" outlineLevel="2">
      <c r="A112" s="20"/>
      <c r="B112" s="21"/>
      <c r="C112" s="65" t="s">
        <v>90</v>
      </c>
      <c r="D112" s="13" t="s">
        <v>41</v>
      </c>
      <c r="E112" s="16">
        <v>1</v>
      </c>
      <c r="F112" s="66"/>
      <c r="G112" s="13"/>
      <c r="H112" s="13" t="s">
        <v>88</v>
      </c>
      <c r="I112" s="13"/>
      <c r="J112" s="13"/>
      <c r="K112" s="15"/>
      <c r="L112" s="15">
        <f>'[5]Раздел №1'!$I$42</f>
        <v>582.9</v>
      </c>
      <c r="M112" s="24"/>
      <c r="N112" s="24">
        <f>E112*F112</f>
        <v>0</v>
      </c>
      <c r="O112" s="7" t="s">
        <v>459</v>
      </c>
    </row>
    <row r="113" spans="1:15" ht="12.75" customHeight="1" hidden="1" outlineLevel="2">
      <c r="A113" s="20"/>
      <c r="B113" s="21"/>
      <c r="C113" s="22" t="s">
        <v>63</v>
      </c>
      <c r="D113" s="13" t="s">
        <v>33</v>
      </c>
      <c r="E113" s="16">
        <v>0.066</v>
      </c>
      <c r="F113" s="17">
        <f>24426.83/1120*1.096*1.25*1.18*1.074*1.118*1.091*1.078*1.077*1.08</f>
        <v>57.91</v>
      </c>
      <c r="G113" s="13"/>
      <c r="H113" s="13" t="s">
        <v>88</v>
      </c>
      <c r="I113" s="13"/>
      <c r="J113" s="13"/>
      <c r="K113" s="15"/>
      <c r="L113" s="15">
        <f>'[5]Раздел №1'!$I$42</f>
        <v>582.9</v>
      </c>
      <c r="M113" s="24"/>
      <c r="N113" s="24">
        <f>E113*F113</f>
        <v>3.8</v>
      </c>
      <c r="O113" s="7" t="s">
        <v>445</v>
      </c>
    </row>
    <row r="114" spans="1:15" ht="12.75" customHeight="1" hidden="1" outlineLevel="2">
      <c r="A114" s="20" t="s">
        <v>103</v>
      </c>
      <c r="B114" s="21"/>
      <c r="C114" s="22" t="s">
        <v>94</v>
      </c>
      <c r="D114" s="13" t="s">
        <v>100</v>
      </c>
      <c r="E114" s="16">
        <f>116/100</f>
        <v>1.16</v>
      </c>
      <c r="F114" s="17">
        <f>14.63*1.096*1.25*1.18*1.074*1.118*1.091*1.078*1.077*1.08</f>
        <v>38.85</v>
      </c>
      <c r="G114" s="13"/>
      <c r="H114" s="13" t="s">
        <v>92</v>
      </c>
      <c r="I114" s="13"/>
      <c r="J114" s="13"/>
      <c r="K114" s="13"/>
      <c r="L114" s="15">
        <f>'[5]Раздел №1'!$I$42</f>
        <v>582.9</v>
      </c>
      <c r="M114" s="20"/>
      <c r="N114" s="24">
        <f aca="true" t="shared" si="7" ref="N114:N119">E114*F114</f>
        <v>45.1</v>
      </c>
      <c r="O114" s="7" t="s">
        <v>460</v>
      </c>
    </row>
    <row r="115" spans="1:15" ht="12.75" customHeight="1" hidden="1" outlineLevel="2">
      <c r="A115" s="20"/>
      <c r="B115" s="21"/>
      <c r="C115" s="22" t="s">
        <v>95</v>
      </c>
      <c r="D115" s="13" t="s">
        <v>33</v>
      </c>
      <c r="E115" s="16">
        <f>0.023*1000/100</f>
        <v>0.23</v>
      </c>
      <c r="F115" s="17">
        <f>8096.02/1030*1.18*1.096*1.25*1.074*1.118*1.091*1.078*1.077*1.08</f>
        <v>20.87</v>
      </c>
      <c r="G115" s="13"/>
      <c r="H115" s="13" t="s">
        <v>92</v>
      </c>
      <c r="I115" s="13"/>
      <c r="J115" s="13"/>
      <c r="K115" s="13"/>
      <c r="L115" s="15">
        <f>'[5]Раздел №1'!$I$42</f>
        <v>582.9</v>
      </c>
      <c r="M115" s="20"/>
      <c r="N115" s="24">
        <f t="shared" si="7"/>
        <v>4.8</v>
      </c>
      <c r="O115" s="7" t="s">
        <v>463</v>
      </c>
    </row>
    <row r="116" spans="1:15" ht="12.75" customHeight="1" hidden="1" outlineLevel="2">
      <c r="A116" s="20"/>
      <c r="B116" s="21"/>
      <c r="C116" s="22" t="s">
        <v>96</v>
      </c>
      <c r="D116" s="13" t="s">
        <v>33</v>
      </c>
      <c r="E116" s="16">
        <f>0.246*1000/100</f>
        <v>2.46</v>
      </c>
      <c r="F116" s="17">
        <f>18555.59/1110*1.096*1.25*1.18*1.074*1.118*1.091*1.078*1.077*1.08</f>
        <v>44.39</v>
      </c>
      <c r="G116" s="13"/>
      <c r="H116" s="13" t="s">
        <v>92</v>
      </c>
      <c r="I116" s="16"/>
      <c r="J116" s="13"/>
      <c r="K116" s="15"/>
      <c r="L116" s="15">
        <f>'[5]Раздел №1'!$I$42</f>
        <v>582.9</v>
      </c>
      <c r="M116" s="24"/>
      <c r="N116" s="24">
        <f t="shared" si="7"/>
        <v>109.2</v>
      </c>
      <c r="O116" s="7" t="s">
        <v>464</v>
      </c>
    </row>
    <row r="117" spans="1:15" ht="12.75" customHeight="1" hidden="1" outlineLevel="2">
      <c r="A117" s="20"/>
      <c r="B117" s="21"/>
      <c r="C117" s="22" t="s">
        <v>97</v>
      </c>
      <c r="D117" s="13" t="s">
        <v>33</v>
      </c>
      <c r="E117" s="16">
        <f>0.004*1000/100</f>
        <v>0.04</v>
      </c>
      <c r="F117" s="17">
        <f>73567.18/1190*1.096*1.25*1.18*1.074*1.118*1.091*1.078*1.077*1.08</f>
        <v>164.16</v>
      </c>
      <c r="G117" s="13"/>
      <c r="H117" s="13" t="s">
        <v>92</v>
      </c>
      <c r="I117" s="16"/>
      <c r="J117" s="13"/>
      <c r="K117" s="15"/>
      <c r="L117" s="15">
        <f>'[5]Раздел №1'!$I$42</f>
        <v>582.9</v>
      </c>
      <c r="M117" s="24"/>
      <c r="N117" s="24">
        <f t="shared" si="7"/>
        <v>6.6</v>
      </c>
      <c r="O117" s="7" t="s">
        <v>499</v>
      </c>
    </row>
    <row r="118" spans="1:15" ht="12.75" customHeight="1" hidden="1" outlineLevel="2">
      <c r="A118" s="20"/>
      <c r="B118" s="21"/>
      <c r="C118" s="22" t="s">
        <v>98</v>
      </c>
      <c r="D118" s="13" t="s">
        <v>33</v>
      </c>
      <c r="E118" s="16">
        <f>0.5/100</f>
        <v>0.005</v>
      </c>
      <c r="F118" s="17">
        <f>27.58*1.18*1.096*1.25*1.074*1.118*1.091*1.078*1.077*1.08</f>
        <v>73.24</v>
      </c>
      <c r="G118" s="13"/>
      <c r="H118" s="13" t="s">
        <v>92</v>
      </c>
      <c r="I118" s="16"/>
      <c r="J118" s="13"/>
      <c r="K118" s="15"/>
      <c r="L118" s="15">
        <f>'[5]Раздел №1'!$I$42</f>
        <v>582.9</v>
      </c>
      <c r="M118" s="24"/>
      <c r="N118" s="24">
        <f t="shared" si="7"/>
        <v>0.4</v>
      </c>
      <c r="O118" s="7" t="s">
        <v>443</v>
      </c>
    </row>
    <row r="119" spans="1:15" ht="12.75" customHeight="1" hidden="1" outlineLevel="2">
      <c r="A119" s="20"/>
      <c r="B119" s="21"/>
      <c r="C119" s="22" t="s">
        <v>99</v>
      </c>
      <c r="D119" s="13" t="s">
        <v>33</v>
      </c>
      <c r="E119" s="16">
        <f>0.054*1000/100</f>
        <v>0.54</v>
      </c>
      <c r="F119" s="17">
        <f>32972.45/1260*1.096*1.25*1.18*1.074*1.118*1.091*1.078*1.077*1.08</f>
        <v>69.49</v>
      </c>
      <c r="G119" s="13"/>
      <c r="H119" s="13" t="s">
        <v>92</v>
      </c>
      <c r="I119" s="16"/>
      <c r="J119" s="13"/>
      <c r="K119" s="15"/>
      <c r="L119" s="15">
        <f>'[5]Раздел №1'!$I$42</f>
        <v>582.9</v>
      </c>
      <c r="M119" s="24"/>
      <c r="N119" s="24">
        <f t="shared" si="7"/>
        <v>37.5</v>
      </c>
      <c r="O119" s="7" t="s">
        <v>462</v>
      </c>
    </row>
    <row r="120" spans="1:14" ht="17.25" customHeight="1" outlineLevel="1" collapsed="1">
      <c r="A120" s="20" t="s">
        <v>663</v>
      </c>
      <c r="B120" s="21" t="s">
        <v>1004</v>
      </c>
      <c r="C120" s="22"/>
      <c r="D120" s="13"/>
      <c r="E120" s="16"/>
      <c r="F120" s="32"/>
      <c r="G120" s="13" t="s">
        <v>559</v>
      </c>
      <c r="H120" s="13" t="s">
        <v>414</v>
      </c>
      <c r="I120" s="17">
        <f>81/100</f>
        <v>0.81</v>
      </c>
      <c r="J120" s="15">
        <v>1</v>
      </c>
      <c r="K120" s="17">
        <f>I120*J120</f>
        <v>0.81</v>
      </c>
      <c r="L120" s="15">
        <f>'[5]Раздел №1'!$I$42</f>
        <v>582.9</v>
      </c>
      <c r="M120" s="24">
        <f>K120*L120</f>
        <v>472.1</v>
      </c>
      <c r="N120" s="24">
        <f>SUM(N121:N125)</f>
        <v>15.7</v>
      </c>
    </row>
    <row r="121" spans="1:15" ht="12.75" customHeight="1" hidden="1" outlineLevel="2">
      <c r="A121" s="20"/>
      <c r="B121" s="21"/>
      <c r="C121" s="22" t="s">
        <v>415</v>
      </c>
      <c r="D121" s="13" t="s">
        <v>136</v>
      </c>
      <c r="E121" s="16">
        <f>0.4</f>
        <v>0.4</v>
      </c>
      <c r="F121" s="17"/>
      <c r="G121" s="13"/>
      <c r="H121" s="13" t="s">
        <v>414</v>
      </c>
      <c r="I121" s="13"/>
      <c r="J121" s="15">
        <v>1</v>
      </c>
      <c r="K121" s="15"/>
      <c r="L121" s="15">
        <v>485.7</v>
      </c>
      <c r="M121" s="24"/>
      <c r="N121" s="24">
        <f>E121*F121</f>
        <v>0</v>
      </c>
      <c r="O121" s="7" t="s">
        <v>440</v>
      </c>
    </row>
    <row r="122" spans="1:15" ht="12.75" customHeight="1" hidden="1" outlineLevel="2">
      <c r="A122" s="20"/>
      <c r="B122" s="21"/>
      <c r="C122" s="22" t="s">
        <v>438</v>
      </c>
      <c r="D122" s="13" t="s">
        <v>41</v>
      </c>
      <c r="E122" s="16">
        <v>1</v>
      </c>
      <c r="F122" s="17"/>
      <c r="G122" s="13"/>
      <c r="H122" s="13" t="s">
        <v>414</v>
      </c>
      <c r="I122" s="13"/>
      <c r="J122" s="15">
        <v>1</v>
      </c>
      <c r="K122" s="15"/>
      <c r="L122" s="15">
        <v>485.7</v>
      </c>
      <c r="M122" s="24"/>
      <c r="N122" s="24">
        <f>E122*F122</f>
        <v>0</v>
      </c>
      <c r="O122" s="7" t="s">
        <v>439</v>
      </c>
    </row>
    <row r="123" spans="1:15" ht="12.75" customHeight="1" hidden="1" outlineLevel="2">
      <c r="A123" s="20"/>
      <c r="B123" s="21"/>
      <c r="C123" s="22" t="s">
        <v>416</v>
      </c>
      <c r="D123" s="13" t="s">
        <v>33</v>
      </c>
      <c r="E123" s="16">
        <f>0.00015*1000</f>
        <v>0.15</v>
      </c>
      <c r="F123" s="17">
        <f>24867.53/1140*1.096*1.25*1.18*1.074*1.118*1.091*1.078*1.077*1.08</f>
        <v>57.92</v>
      </c>
      <c r="G123" s="13"/>
      <c r="H123" s="13" t="s">
        <v>414</v>
      </c>
      <c r="I123" s="13"/>
      <c r="J123" s="15">
        <v>1</v>
      </c>
      <c r="K123" s="15"/>
      <c r="L123" s="15">
        <v>485.7</v>
      </c>
      <c r="M123" s="24"/>
      <c r="N123" s="24">
        <f>E123*F123</f>
        <v>8.7</v>
      </c>
      <c r="O123" s="7" t="s">
        <v>501</v>
      </c>
    </row>
    <row r="124" spans="1:15" ht="12.75" customHeight="1" hidden="1" outlineLevel="2">
      <c r="A124" s="20"/>
      <c r="B124" s="21"/>
      <c r="C124" s="22" t="s">
        <v>417</v>
      </c>
      <c r="D124" s="13" t="s">
        <v>230</v>
      </c>
      <c r="E124" s="16">
        <f>0.037</f>
        <v>0.037</v>
      </c>
      <c r="F124" s="17">
        <f>33.96*1.18*1.096*1.25*1.074*1.118*1.091*1.078*1.077*1.08</f>
        <v>90.18</v>
      </c>
      <c r="G124" s="13"/>
      <c r="H124" s="13" t="s">
        <v>414</v>
      </c>
      <c r="I124" s="13"/>
      <c r="J124" s="15">
        <v>1</v>
      </c>
      <c r="K124" s="15"/>
      <c r="L124" s="15">
        <v>485.7</v>
      </c>
      <c r="M124" s="24"/>
      <c r="N124" s="24">
        <f>E124*F124</f>
        <v>3.3</v>
      </c>
      <c r="O124" s="7" t="s">
        <v>447</v>
      </c>
    </row>
    <row r="125" spans="1:15" ht="12.75" customHeight="1" hidden="1" outlineLevel="2">
      <c r="A125" s="20"/>
      <c r="B125" s="21"/>
      <c r="C125" s="22" t="s">
        <v>418</v>
      </c>
      <c r="D125" s="13" t="s">
        <v>230</v>
      </c>
      <c r="E125" s="16">
        <v>0.008</v>
      </c>
      <c r="F125" s="17">
        <f>172.47*1.18*1.096*1.25*1.074*1.118*1.091*1.078*1.077*1.08</f>
        <v>457.98</v>
      </c>
      <c r="G125" s="13"/>
      <c r="H125" s="13" t="s">
        <v>414</v>
      </c>
      <c r="I125" s="13"/>
      <c r="J125" s="15">
        <v>1</v>
      </c>
      <c r="K125" s="15"/>
      <c r="L125" s="15">
        <v>485.7</v>
      </c>
      <c r="M125" s="24"/>
      <c r="N125" s="24">
        <f>E125*F125</f>
        <v>3.7</v>
      </c>
      <c r="O125" s="7" t="s">
        <v>466</v>
      </c>
    </row>
    <row r="126" spans="1:14" ht="18" customHeight="1" outlineLevel="1" collapsed="1">
      <c r="A126" s="20" t="s">
        <v>664</v>
      </c>
      <c r="B126" s="21" t="s">
        <v>420</v>
      </c>
      <c r="C126" s="22"/>
      <c r="D126" s="13"/>
      <c r="E126" s="16"/>
      <c r="F126" s="32"/>
      <c r="G126" s="13" t="s">
        <v>23</v>
      </c>
      <c r="H126" s="13" t="s">
        <v>422</v>
      </c>
      <c r="I126" s="17">
        <f>587.4/100</f>
        <v>5.87</v>
      </c>
      <c r="J126" s="15">
        <v>1</v>
      </c>
      <c r="K126" s="17">
        <f>I126*J126</f>
        <v>5.87</v>
      </c>
      <c r="L126" s="15">
        <v>449.7</v>
      </c>
      <c r="M126" s="24">
        <f>K126*L126</f>
        <v>2639.7</v>
      </c>
      <c r="N126" s="24">
        <f>SUM(N127:N132)</f>
        <v>52.3</v>
      </c>
    </row>
    <row r="127" spans="1:15" ht="12.75" customHeight="1" hidden="1" outlineLevel="2">
      <c r="A127" s="20" t="s">
        <v>666</v>
      </c>
      <c r="B127" s="21"/>
      <c r="C127" s="22" t="s">
        <v>421</v>
      </c>
      <c r="D127" s="13" t="s">
        <v>41</v>
      </c>
      <c r="E127" s="16">
        <f>100/100</f>
        <v>1</v>
      </c>
      <c r="F127" s="17"/>
      <c r="G127" s="13"/>
      <c r="H127" s="13" t="s">
        <v>422</v>
      </c>
      <c r="I127" s="13"/>
      <c r="J127" s="15">
        <v>1</v>
      </c>
      <c r="K127" s="15"/>
      <c r="L127" s="15">
        <v>485.7</v>
      </c>
      <c r="M127" s="24"/>
      <c r="N127" s="24">
        <f aca="true" t="shared" si="8" ref="N127:N132">E127*F127</f>
        <v>0</v>
      </c>
      <c r="O127" s="7" t="s">
        <v>437</v>
      </c>
    </row>
    <row r="128" spans="1:15" ht="12.75" customHeight="1" hidden="1" outlineLevel="2">
      <c r="A128" s="20" t="s">
        <v>667</v>
      </c>
      <c r="B128" s="21"/>
      <c r="C128" s="22" t="s">
        <v>56</v>
      </c>
      <c r="D128" s="13" t="s">
        <v>33</v>
      </c>
      <c r="E128" s="16">
        <f>0.013*1000/100</f>
        <v>0.13</v>
      </c>
      <c r="F128" s="17">
        <f>49207.49/1110*1.18*1.096*1.25*1.074*1.118*1.091*1.078*1.077*1.08</f>
        <v>117.72</v>
      </c>
      <c r="G128" s="13"/>
      <c r="H128" s="13" t="s">
        <v>422</v>
      </c>
      <c r="I128" s="13"/>
      <c r="J128" s="15">
        <v>1</v>
      </c>
      <c r="K128" s="15"/>
      <c r="L128" s="15">
        <v>485.7</v>
      </c>
      <c r="M128" s="24"/>
      <c r="N128" s="24">
        <f t="shared" si="8"/>
        <v>15.3</v>
      </c>
      <c r="O128" s="7" t="s">
        <v>448</v>
      </c>
    </row>
    <row r="129" spans="1:15" ht="12.75" customHeight="1" hidden="1" outlineLevel="2">
      <c r="A129" s="20" t="s">
        <v>668</v>
      </c>
      <c r="B129" s="21"/>
      <c r="C129" s="22" t="s">
        <v>62</v>
      </c>
      <c r="D129" s="13" t="s">
        <v>33</v>
      </c>
      <c r="E129" s="16">
        <f>0.007*1000/100</f>
        <v>0.07</v>
      </c>
      <c r="F129" s="17">
        <f>49916.37/1000*1.18*1.096*1.25*1.074*1.118*1.091*1.078*1.077*1.08</f>
        <v>132.55</v>
      </c>
      <c r="G129" s="13"/>
      <c r="H129" s="13" t="s">
        <v>422</v>
      </c>
      <c r="I129" s="13"/>
      <c r="J129" s="15">
        <v>1</v>
      </c>
      <c r="K129" s="15"/>
      <c r="L129" s="15">
        <v>485.7</v>
      </c>
      <c r="M129" s="24"/>
      <c r="N129" s="24">
        <f t="shared" si="8"/>
        <v>9.3</v>
      </c>
      <c r="O129" s="7" t="s">
        <v>441</v>
      </c>
    </row>
    <row r="130" spans="1:15" ht="12.75" customHeight="1" hidden="1" outlineLevel="2">
      <c r="A130" s="20" t="s">
        <v>669</v>
      </c>
      <c r="B130" s="21"/>
      <c r="C130" s="22" t="s">
        <v>61</v>
      </c>
      <c r="D130" s="13" t="s">
        <v>33</v>
      </c>
      <c r="E130" s="16">
        <f>0.02*1000/100</f>
        <v>0.2</v>
      </c>
      <c r="F130" s="17">
        <f>9712.71/1010*1.096*1.25*1.18*1.074*1.118*1.091*1.078*1.077*1.08</f>
        <v>25.54</v>
      </c>
      <c r="G130" s="13"/>
      <c r="H130" s="13" t="s">
        <v>422</v>
      </c>
      <c r="I130" s="13"/>
      <c r="J130" s="15">
        <v>1</v>
      </c>
      <c r="K130" s="15"/>
      <c r="L130" s="15">
        <v>485.7</v>
      </c>
      <c r="M130" s="24"/>
      <c r="N130" s="24">
        <f t="shared" si="8"/>
        <v>5.1</v>
      </c>
      <c r="O130" s="7" t="s">
        <v>446</v>
      </c>
    </row>
    <row r="131" spans="1:15" ht="12.75" customHeight="1" hidden="1" outlineLevel="2">
      <c r="A131" s="20" t="s">
        <v>670</v>
      </c>
      <c r="B131" s="21"/>
      <c r="C131" s="22" t="s">
        <v>57</v>
      </c>
      <c r="D131" s="13" t="s">
        <v>33</v>
      </c>
      <c r="E131" s="16">
        <f>5.9/100</f>
        <v>0.059</v>
      </c>
      <c r="F131" s="17">
        <f>82.28*1.096*1.25*1.18*1.074*1.118*1.091*1.078*1.077*1.08</f>
        <v>218.49</v>
      </c>
      <c r="G131" s="13"/>
      <c r="H131" s="13" t="s">
        <v>422</v>
      </c>
      <c r="I131" s="13"/>
      <c r="J131" s="15">
        <v>1</v>
      </c>
      <c r="K131" s="15"/>
      <c r="L131" s="15">
        <v>485.7</v>
      </c>
      <c r="M131" s="24"/>
      <c r="N131" s="24">
        <f t="shared" si="8"/>
        <v>12.9</v>
      </c>
      <c r="O131" s="7" t="s">
        <v>444</v>
      </c>
    </row>
    <row r="132" spans="1:15" ht="12.75" customHeight="1" hidden="1" outlineLevel="2">
      <c r="A132" s="20" t="s">
        <v>671</v>
      </c>
      <c r="B132" s="21"/>
      <c r="C132" s="22" t="s">
        <v>58</v>
      </c>
      <c r="D132" s="13" t="s">
        <v>33</v>
      </c>
      <c r="E132" s="16">
        <f>0.0059*1000/100</f>
        <v>0.059</v>
      </c>
      <c r="F132" s="17">
        <f>74.29/1.2*1.096*1.25*1.18*1.074*1.118*1.091*1.078*1.077*1.08</f>
        <v>164.39</v>
      </c>
      <c r="G132" s="13"/>
      <c r="H132" s="13" t="s">
        <v>422</v>
      </c>
      <c r="I132" s="13"/>
      <c r="J132" s="15">
        <v>1</v>
      </c>
      <c r="K132" s="15"/>
      <c r="L132" s="15">
        <v>485.7</v>
      </c>
      <c r="M132" s="24"/>
      <c r="N132" s="24">
        <f t="shared" si="8"/>
        <v>9.7</v>
      </c>
      <c r="O132" s="7" t="s">
        <v>442</v>
      </c>
    </row>
    <row r="133" spans="1:14" ht="15.75" customHeight="1" outlineLevel="1" collapsed="1">
      <c r="A133" s="20" t="s">
        <v>665</v>
      </c>
      <c r="B133" s="21" t="s">
        <v>419</v>
      </c>
      <c r="C133" s="22"/>
      <c r="D133" s="13"/>
      <c r="E133" s="16"/>
      <c r="F133" s="32"/>
      <c r="G133" s="13" t="s">
        <v>23</v>
      </c>
      <c r="H133" s="13" t="s">
        <v>424</v>
      </c>
      <c r="I133" s="17">
        <f>532.2/100</f>
        <v>5.32</v>
      </c>
      <c r="J133" s="15">
        <v>1</v>
      </c>
      <c r="K133" s="17">
        <f>I133*J133</f>
        <v>5.32</v>
      </c>
      <c r="L133" s="15">
        <v>449.7</v>
      </c>
      <c r="M133" s="24">
        <f>K133*L133</f>
        <v>2392.4</v>
      </c>
      <c r="N133" s="24">
        <f>SUM(N134:N139)</f>
        <v>52.3</v>
      </c>
    </row>
    <row r="134" spans="1:15" ht="12.75" customHeight="1" hidden="1" outlineLevel="3">
      <c r="A134" s="20"/>
      <c r="B134" s="21"/>
      <c r="C134" s="22" t="s">
        <v>423</v>
      </c>
      <c r="D134" s="13" t="s">
        <v>41</v>
      </c>
      <c r="E134" s="16">
        <f>100/100</f>
        <v>1</v>
      </c>
      <c r="F134" s="17"/>
      <c r="G134" s="13"/>
      <c r="H134" s="13" t="s">
        <v>424</v>
      </c>
      <c r="I134" s="13"/>
      <c r="J134" s="13"/>
      <c r="K134" s="15"/>
      <c r="L134" s="15">
        <f>'[5]Раздел №1'!$I$42</f>
        <v>582.9</v>
      </c>
      <c r="M134" s="24"/>
      <c r="N134" s="24">
        <f aca="true" t="shared" si="9" ref="N134:N139">E134*F134</f>
        <v>0</v>
      </c>
      <c r="O134" s="7" t="s">
        <v>436</v>
      </c>
    </row>
    <row r="135" spans="1:15" ht="12.75" customHeight="1" hidden="1" outlineLevel="3">
      <c r="A135" s="20"/>
      <c r="B135" s="21"/>
      <c r="C135" s="22" t="s">
        <v>56</v>
      </c>
      <c r="D135" s="13" t="s">
        <v>33</v>
      </c>
      <c r="E135" s="16">
        <f>0.013*1000/100</f>
        <v>0.13</v>
      </c>
      <c r="F135" s="17">
        <f>49207.49/1110*1.18*1.096*1.25*1.074*1.118*1.091*1.078*1.077*1.08</f>
        <v>117.72</v>
      </c>
      <c r="G135" s="13"/>
      <c r="H135" s="13" t="s">
        <v>424</v>
      </c>
      <c r="I135" s="13"/>
      <c r="J135" s="13"/>
      <c r="K135" s="15"/>
      <c r="L135" s="15">
        <f>'[5]Раздел №1'!$I$42</f>
        <v>582.9</v>
      </c>
      <c r="M135" s="24"/>
      <c r="N135" s="24">
        <f t="shared" si="9"/>
        <v>15.3</v>
      </c>
      <c r="O135" s="7" t="s">
        <v>448</v>
      </c>
    </row>
    <row r="136" spans="1:15" ht="12.75" customHeight="1" hidden="1" outlineLevel="3">
      <c r="A136" s="20"/>
      <c r="B136" s="21"/>
      <c r="C136" s="22" t="s">
        <v>62</v>
      </c>
      <c r="D136" s="13" t="s">
        <v>33</v>
      </c>
      <c r="E136" s="16">
        <f>0.007*1000/100</f>
        <v>0.07</v>
      </c>
      <c r="F136" s="17">
        <f>49916.37/1000*1.18*1.096*1.25*1.074*1.118*1.091*1.078*1.077*1.08</f>
        <v>132.55</v>
      </c>
      <c r="G136" s="13"/>
      <c r="H136" s="13" t="s">
        <v>424</v>
      </c>
      <c r="I136" s="13"/>
      <c r="J136" s="13"/>
      <c r="K136" s="15"/>
      <c r="L136" s="15">
        <f>'[5]Раздел №1'!$I$42</f>
        <v>582.9</v>
      </c>
      <c r="M136" s="24"/>
      <c r="N136" s="24">
        <f t="shared" si="9"/>
        <v>9.3</v>
      </c>
      <c r="O136" s="7" t="s">
        <v>441</v>
      </c>
    </row>
    <row r="137" spans="1:15" ht="12.75" customHeight="1" hidden="1" outlineLevel="3">
      <c r="A137" s="20"/>
      <c r="B137" s="21"/>
      <c r="C137" s="22" t="s">
        <v>61</v>
      </c>
      <c r="D137" s="13" t="s">
        <v>33</v>
      </c>
      <c r="E137" s="16">
        <f>0.02*1000/100</f>
        <v>0.2</v>
      </c>
      <c r="F137" s="17">
        <f>9712.71/1010*1.096*1.25*1.18*1.074*1.118*1.091*1.078*1.077*1.08</f>
        <v>25.54</v>
      </c>
      <c r="G137" s="13"/>
      <c r="H137" s="13" t="s">
        <v>424</v>
      </c>
      <c r="I137" s="13"/>
      <c r="J137" s="13"/>
      <c r="K137" s="15"/>
      <c r="L137" s="15">
        <f>'[5]Раздел №1'!$I$42</f>
        <v>582.9</v>
      </c>
      <c r="M137" s="24"/>
      <c r="N137" s="24">
        <f t="shared" si="9"/>
        <v>5.1</v>
      </c>
      <c r="O137" s="7" t="s">
        <v>446</v>
      </c>
    </row>
    <row r="138" spans="1:15" ht="12.75" customHeight="1" hidden="1" outlineLevel="3">
      <c r="A138" s="20"/>
      <c r="B138" s="21"/>
      <c r="C138" s="22" t="s">
        <v>57</v>
      </c>
      <c r="D138" s="13" t="s">
        <v>33</v>
      </c>
      <c r="E138" s="16">
        <f>5.9/100</f>
        <v>0.059</v>
      </c>
      <c r="F138" s="17">
        <f>82.28*1.096*1.25*1.18*1.074*1.118*1.091*1.078*1.077*1.08</f>
        <v>218.49</v>
      </c>
      <c r="G138" s="13"/>
      <c r="H138" s="13" t="s">
        <v>424</v>
      </c>
      <c r="I138" s="13"/>
      <c r="J138" s="13"/>
      <c r="K138" s="15"/>
      <c r="L138" s="15">
        <f>'[5]Раздел №1'!$I$42</f>
        <v>582.9</v>
      </c>
      <c r="M138" s="24"/>
      <c r="N138" s="24">
        <f t="shared" si="9"/>
        <v>12.9</v>
      </c>
      <c r="O138" s="7" t="s">
        <v>444</v>
      </c>
    </row>
    <row r="139" spans="1:15" ht="12.75" customHeight="1" hidden="1" outlineLevel="3">
      <c r="A139" s="20"/>
      <c r="B139" s="21"/>
      <c r="C139" s="22" t="s">
        <v>58</v>
      </c>
      <c r="D139" s="13" t="s">
        <v>33</v>
      </c>
      <c r="E139" s="16">
        <f>0.0059*1000/100</f>
        <v>0.059</v>
      </c>
      <c r="F139" s="17">
        <f>74.29/1.2*1.096*1.25*1.18*1.074*1.118*1.091*1.078*1.077*1.08</f>
        <v>164.39</v>
      </c>
      <c r="G139" s="13"/>
      <c r="H139" s="13" t="s">
        <v>424</v>
      </c>
      <c r="I139" s="13"/>
      <c r="J139" s="13"/>
      <c r="K139" s="15"/>
      <c r="L139" s="15">
        <f>'[5]Раздел №1'!$I$42</f>
        <v>582.9</v>
      </c>
      <c r="M139" s="24"/>
      <c r="N139" s="24">
        <f t="shared" si="9"/>
        <v>9.7</v>
      </c>
      <c r="O139" s="7" t="s">
        <v>442</v>
      </c>
    </row>
    <row r="140" spans="1:14" ht="15.75" customHeight="1" outlineLevel="1" collapsed="1">
      <c r="A140" s="20" t="s">
        <v>666</v>
      </c>
      <c r="B140" s="21" t="s">
        <v>538</v>
      </c>
      <c r="C140" s="22"/>
      <c r="D140" s="13"/>
      <c r="E140" s="16"/>
      <c r="F140" s="32"/>
      <c r="G140" s="13" t="s">
        <v>539</v>
      </c>
      <c r="H140" s="13"/>
      <c r="I140" s="17">
        <v>4</v>
      </c>
      <c r="J140" s="17">
        <v>1.15</v>
      </c>
      <c r="K140" s="17">
        <f>I140*J140</f>
        <v>4.6</v>
      </c>
      <c r="L140" s="15">
        <f>'[5]Раздел №1'!$I$42</f>
        <v>582.9</v>
      </c>
      <c r="M140" s="24">
        <f>K140*L140</f>
        <v>2681.3</v>
      </c>
      <c r="N140" s="24"/>
    </row>
    <row r="141" spans="1:14" ht="15.75" customHeight="1" outlineLevel="1">
      <c r="A141" s="20" t="s">
        <v>667</v>
      </c>
      <c r="B141" s="21" t="s">
        <v>547</v>
      </c>
      <c r="C141" s="22"/>
      <c r="D141" s="13"/>
      <c r="E141" s="16"/>
      <c r="F141" s="32"/>
      <c r="G141" s="13" t="s">
        <v>544</v>
      </c>
      <c r="H141" s="13" t="s">
        <v>543</v>
      </c>
      <c r="I141" s="17">
        <f>89.3/100</f>
        <v>0.89</v>
      </c>
      <c r="J141" s="17">
        <v>1.15</v>
      </c>
      <c r="K141" s="17">
        <f>I141*J141</f>
        <v>1.02</v>
      </c>
      <c r="L141" s="15">
        <f>'[5]Раздел №1'!$I$42</f>
        <v>582.9</v>
      </c>
      <c r="M141" s="24">
        <f>K141*L141</f>
        <v>594.6</v>
      </c>
      <c r="N141" s="24">
        <f>SUM(N142:N146)</f>
        <v>2.5</v>
      </c>
    </row>
    <row r="142" spans="1:14" ht="12.75" customHeight="1" hidden="1" outlineLevel="2">
      <c r="A142" s="20"/>
      <c r="B142" s="21"/>
      <c r="C142" s="22" t="s">
        <v>540</v>
      </c>
      <c r="D142" s="13" t="s">
        <v>542</v>
      </c>
      <c r="E142" s="16">
        <f>107/100</f>
        <v>1.07</v>
      </c>
      <c r="F142" s="17"/>
      <c r="G142" s="13"/>
      <c r="H142" s="13" t="s">
        <v>543</v>
      </c>
      <c r="I142" s="17"/>
      <c r="J142" s="15"/>
      <c r="K142" s="17"/>
      <c r="L142" s="15">
        <f>'[5]Раздел №1'!$I$42</f>
        <v>582.9</v>
      </c>
      <c r="M142" s="24"/>
      <c r="N142" s="24">
        <f>E142*F142</f>
        <v>0</v>
      </c>
    </row>
    <row r="143" spans="1:15" ht="12.75" customHeight="1" hidden="1" outlineLevel="2">
      <c r="A143" s="20"/>
      <c r="B143" s="21"/>
      <c r="C143" s="22" t="s">
        <v>57</v>
      </c>
      <c r="D143" s="13" t="s">
        <v>33</v>
      </c>
      <c r="E143" s="16">
        <f>0.05/100</f>
        <v>0.001</v>
      </c>
      <c r="F143" s="17">
        <f>82.28*1.096*1.25*1.18*1.074*1.118*1.091*1.078*1.077*1.08</f>
        <v>218.49</v>
      </c>
      <c r="G143" s="13"/>
      <c r="H143" s="13" t="s">
        <v>543</v>
      </c>
      <c r="I143" s="17"/>
      <c r="J143" s="15"/>
      <c r="K143" s="17"/>
      <c r="L143" s="15">
        <f>'[5]Раздел №1'!$I$42</f>
        <v>582.9</v>
      </c>
      <c r="M143" s="24"/>
      <c r="N143" s="24">
        <f>E143*F143</f>
        <v>0.2</v>
      </c>
      <c r="O143" s="7" t="s">
        <v>444</v>
      </c>
    </row>
    <row r="144" spans="1:15" ht="12.75" customHeight="1" hidden="1" outlineLevel="2">
      <c r="A144" s="20"/>
      <c r="B144" s="21"/>
      <c r="C144" s="22" t="s">
        <v>541</v>
      </c>
      <c r="D144" s="13" t="s">
        <v>33</v>
      </c>
      <c r="E144" s="16">
        <f>0.0004*1000/100</f>
        <v>0.004</v>
      </c>
      <c r="F144" s="17">
        <f>31566.79/1000*1.096*1.25*1.18*1.074*1.118*1.091*1.078*1.077*1.08</f>
        <v>83.82</v>
      </c>
      <c r="G144" s="13"/>
      <c r="H144" s="13" t="s">
        <v>543</v>
      </c>
      <c r="I144" s="17"/>
      <c r="J144" s="15"/>
      <c r="K144" s="17"/>
      <c r="L144" s="15">
        <f>'[5]Раздел №1'!$I$42</f>
        <v>582.9</v>
      </c>
      <c r="M144" s="24"/>
      <c r="N144" s="24">
        <f>E144*F144</f>
        <v>0.3</v>
      </c>
      <c r="O144" s="7" t="s">
        <v>648</v>
      </c>
    </row>
    <row r="145" spans="1:15" ht="12.75" customHeight="1" hidden="1" outlineLevel="2">
      <c r="A145" s="20"/>
      <c r="B145" s="21"/>
      <c r="C145" s="22" t="s">
        <v>417</v>
      </c>
      <c r="D145" s="13" t="s">
        <v>230</v>
      </c>
      <c r="E145" s="16">
        <f>0.66/100</f>
        <v>0.007</v>
      </c>
      <c r="F145" s="17">
        <f>33.96*1.18*1.096*1.25*1.074*1.118*1.091*1.078*1.077*1.08</f>
        <v>90.18</v>
      </c>
      <c r="G145" s="13"/>
      <c r="H145" s="13" t="s">
        <v>543</v>
      </c>
      <c r="I145" s="17"/>
      <c r="J145" s="15"/>
      <c r="K145" s="17"/>
      <c r="L145" s="15">
        <f>'[5]Раздел №1'!$I$42</f>
        <v>582.9</v>
      </c>
      <c r="M145" s="24"/>
      <c r="N145" s="24">
        <f>E145*F145</f>
        <v>0.6</v>
      </c>
      <c r="O145" s="7" t="s">
        <v>447</v>
      </c>
    </row>
    <row r="146" spans="1:14" ht="12.75" customHeight="1" hidden="1" outlineLevel="2">
      <c r="A146" s="20"/>
      <c r="B146" s="21"/>
      <c r="C146" s="22" t="s">
        <v>418</v>
      </c>
      <c r="D146" s="13" t="s">
        <v>230</v>
      </c>
      <c r="E146" s="16">
        <f>0.3/100</f>
        <v>0.003</v>
      </c>
      <c r="F146" s="17">
        <f>172.47*1.18*1.096*1.25*1.074*1.118*1.091*1.078*1.077*1.08</f>
        <v>457.98</v>
      </c>
      <c r="G146" s="13"/>
      <c r="H146" s="13" t="s">
        <v>543</v>
      </c>
      <c r="I146" s="17"/>
      <c r="J146" s="15"/>
      <c r="K146" s="17"/>
      <c r="L146" s="15">
        <f>'[5]Раздел №1'!$I$42</f>
        <v>582.9</v>
      </c>
      <c r="M146" s="24"/>
      <c r="N146" s="24">
        <f>E146*F146</f>
        <v>1.4</v>
      </c>
    </row>
    <row r="147" spans="1:14" ht="18" customHeight="1" outlineLevel="1" collapsed="1">
      <c r="A147" s="20" t="s">
        <v>668</v>
      </c>
      <c r="B147" s="21" t="s">
        <v>551</v>
      </c>
      <c r="C147" s="22"/>
      <c r="D147" s="13"/>
      <c r="E147" s="16"/>
      <c r="F147" s="32"/>
      <c r="G147" s="13" t="s">
        <v>544</v>
      </c>
      <c r="H147" s="13" t="s">
        <v>545</v>
      </c>
      <c r="I147" s="17">
        <f>220.8/100</f>
        <v>2.21</v>
      </c>
      <c r="J147" s="17">
        <v>1</v>
      </c>
      <c r="K147" s="17">
        <f>I147*J147</f>
        <v>2.21</v>
      </c>
      <c r="L147" s="15">
        <f>'[5]Раздел №1'!$I$42</f>
        <v>582.9</v>
      </c>
      <c r="M147" s="24">
        <f>K147*L147</f>
        <v>1288.2</v>
      </c>
      <c r="N147" s="24">
        <f>SUM(N148:N150)</f>
        <v>11.3</v>
      </c>
    </row>
    <row r="148" spans="1:14" ht="12.75" customHeight="1" hidden="1" outlineLevel="2">
      <c r="A148" s="20"/>
      <c r="B148" s="21"/>
      <c r="C148" s="22" t="s">
        <v>546</v>
      </c>
      <c r="D148" s="13" t="s">
        <v>136</v>
      </c>
      <c r="E148" s="16">
        <f>0.4</f>
        <v>0.4</v>
      </c>
      <c r="F148" s="17"/>
      <c r="G148" s="13"/>
      <c r="H148" s="13" t="s">
        <v>545</v>
      </c>
      <c r="I148" s="17">
        <f>220.8/100</f>
        <v>2.21</v>
      </c>
      <c r="J148" s="13"/>
      <c r="K148" s="15"/>
      <c r="L148" s="15">
        <f>'[5]Раздел №1'!$I$42</f>
        <v>582.9</v>
      </c>
      <c r="M148" s="24"/>
      <c r="N148" s="24">
        <f>E148*F148</f>
        <v>0</v>
      </c>
    </row>
    <row r="149" spans="1:14" ht="12.75" customHeight="1" hidden="1" outlineLevel="2">
      <c r="A149" s="20"/>
      <c r="B149" s="21"/>
      <c r="C149" s="22" t="s">
        <v>61</v>
      </c>
      <c r="D149" s="13" t="s">
        <v>33</v>
      </c>
      <c r="E149" s="16">
        <f>0.008*1000/100</f>
        <v>0.08</v>
      </c>
      <c r="F149" s="17">
        <f>9712.71/1010*1.096*1.25*1.18*1.074*1.118*1.091*1.078*1.077*1.08</f>
        <v>25.54</v>
      </c>
      <c r="G149" s="13"/>
      <c r="H149" s="13" t="s">
        <v>545</v>
      </c>
      <c r="I149" s="17">
        <f>220.8/100</f>
        <v>2.21</v>
      </c>
      <c r="J149" s="13"/>
      <c r="K149" s="15"/>
      <c r="L149" s="15">
        <f>'[5]Раздел №1'!$I$42</f>
        <v>582.9</v>
      </c>
      <c r="M149" s="24"/>
      <c r="N149" s="24">
        <f>E149*F149</f>
        <v>2</v>
      </c>
    </row>
    <row r="150" spans="1:14" ht="12.75" customHeight="1" hidden="1" outlineLevel="2">
      <c r="A150" s="20"/>
      <c r="B150" s="21"/>
      <c r="C150" s="22" t="s">
        <v>62</v>
      </c>
      <c r="D150" s="13" t="s">
        <v>33</v>
      </c>
      <c r="E150" s="16">
        <f>0.007*1000/100</f>
        <v>0.07</v>
      </c>
      <c r="F150" s="17">
        <f>49916.37/1000*1.18*1.096*1.25*1.074*1.118*1.091*1.078*1.077*1.08</f>
        <v>132.55</v>
      </c>
      <c r="G150" s="13"/>
      <c r="H150" s="13" t="s">
        <v>545</v>
      </c>
      <c r="I150" s="17">
        <f>220.8/100</f>
        <v>2.21</v>
      </c>
      <c r="J150" s="13"/>
      <c r="K150" s="15"/>
      <c r="L150" s="15">
        <f>'[5]Раздел №1'!$I$42</f>
        <v>582.9</v>
      </c>
      <c r="M150" s="24"/>
      <c r="N150" s="24">
        <f>E150*F150</f>
        <v>9.3</v>
      </c>
    </row>
    <row r="151" spans="1:14" ht="18" customHeight="1" outlineLevel="1" collapsed="1">
      <c r="A151" s="20" t="s">
        <v>669</v>
      </c>
      <c r="B151" s="21" t="s">
        <v>1005</v>
      </c>
      <c r="C151" s="22"/>
      <c r="D151" s="13"/>
      <c r="E151" s="16"/>
      <c r="F151" s="32"/>
      <c r="G151" s="13" t="s">
        <v>544</v>
      </c>
      <c r="H151" s="13" t="s">
        <v>545</v>
      </c>
      <c r="I151" s="17">
        <f>220.8/100</f>
        <v>2.21</v>
      </c>
      <c r="J151" s="17">
        <v>1.03</v>
      </c>
      <c r="K151" s="17">
        <f>I151*J151</f>
        <v>2.28</v>
      </c>
      <c r="L151" s="15">
        <f>'[5]Раздел №1'!$I$42</f>
        <v>582.9</v>
      </c>
      <c r="M151" s="24">
        <f>K151*L151</f>
        <v>1329</v>
      </c>
      <c r="N151" s="24">
        <f>SUM(N152:N154)</f>
        <v>0.4</v>
      </c>
    </row>
    <row r="152" spans="1:14" ht="16.5" customHeight="1" outlineLevel="1">
      <c r="A152" s="20" t="s">
        <v>670</v>
      </c>
      <c r="B152" s="21" t="s">
        <v>553</v>
      </c>
      <c r="C152" s="22"/>
      <c r="D152" s="13"/>
      <c r="E152" s="16"/>
      <c r="F152" s="32"/>
      <c r="G152" s="13" t="s">
        <v>544</v>
      </c>
      <c r="H152" s="13" t="s">
        <v>552</v>
      </c>
      <c r="I152" s="17">
        <v>0.58</v>
      </c>
      <c r="J152" s="17">
        <v>1.15</v>
      </c>
      <c r="K152" s="17">
        <f>I152*J152</f>
        <v>0.67</v>
      </c>
      <c r="L152" s="15">
        <f>'[5]Раздел №1'!$I$42</f>
        <v>582.9</v>
      </c>
      <c r="M152" s="24">
        <f>K152*L152</f>
        <v>390.5</v>
      </c>
      <c r="N152" s="24">
        <v>0</v>
      </c>
    </row>
    <row r="153" spans="1:14" ht="16.5" customHeight="1" outlineLevel="1">
      <c r="A153" s="20" t="s">
        <v>671</v>
      </c>
      <c r="B153" s="21" t="s">
        <v>550</v>
      </c>
      <c r="C153" s="22"/>
      <c r="D153" s="13"/>
      <c r="E153" s="16"/>
      <c r="F153" s="32"/>
      <c r="G153" s="13" t="s">
        <v>548</v>
      </c>
      <c r="H153" s="13" t="s">
        <v>549</v>
      </c>
      <c r="I153" s="17">
        <f>81/100</f>
        <v>0.81</v>
      </c>
      <c r="J153" s="17">
        <v>1.15</v>
      </c>
      <c r="K153" s="17">
        <f>I153*J153</f>
        <v>0.93</v>
      </c>
      <c r="L153" s="15">
        <f>'[5]Раздел №1'!$I$42</f>
        <v>582.9</v>
      </c>
      <c r="M153" s="24">
        <f>K153*L153</f>
        <v>542.1</v>
      </c>
      <c r="N153" s="24">
        <f>SUM(N154:N154)</f>
        <v>0.2</v>
      </c>
    </row>
    <row r="154" spans="1:15" ht="12.75" customHeight="1" hidden="1" outlineLevel="2">
      <c r="A154" s="20"/>
      <c r="B154" s="21"/>
      <c r="C154" s="22" t="s">
        <v>57</v>
      </c>
      <c r="D154" s="13" t="s">
        <v>33</v>
      </c>
      <c r="E154" s="16">
        <f>0.05/100</f>
        <v>0.001</v>
      </c>
      <c r="F154" s="17">
        <f>82.28*1.096*1.25*1.18*1.074*1.118*1.091*1.078*1.077*1.08</f>
        <v>218.49</v>
      </c>
      <c r="G154" s="13"/>
      <c r="H154" s="13" t="s">
        <v>549</v>
      </c>
      <c r="I154" s="17"/>
      <c r="J154" s="15"/>
      <c r="K154" s="17"/>
      <c r="L154" s="15">
        <f>'[5]Раздел №1'!$I$42</f>
        <v>582.9</v>
      </c>
      <c r="M154" s="24"/>
      <c r="N154" s="24">
        <f>E154*F154</f>
        <v>0.2</v>
      </c>
      <c r="O154" s="7" t="s">
        <v>444</v>
      </c>
    </row>
    <row r="155" spans="1:14" ht="15.75" customHeight="1" outlineLevel="1" collapsed="1">
      <c r="A155" s="20" t="s">
        <v>672</v>
      </c>
      <c r="B155" s="47" t="s">
        <v>554</v>
      </c>
      <c r="C155" s="46"/>
      <c r="D155" s="46"/>
      <c r="E155" s="46"/>
      <c r="F155" s="46"/>
      <c r="G155" s="13" t="s">
        <v>555</v>
      </c>
      <c r="H155" s="13" t="s">
        <v>557</v>
      </c>
      <c r="I155" s="13">
        <f>28.7/100</f>
        <v>0.287</v>
      </c>
      <c r="J155" s="17">
        <v>1.15</v>
      </c>
      <c r="K155" s="17">
        <f>I155*J155</f>
        <v>0.33</v>
      </c>
      <c r="L155" s="15">
        <f>'[5]Раздел №1'!$I$42</f>
        <v>582.9</v>
      </c>
      <c r="M155" s="24">
        <f>K155*L155</f>
        <v>192.4</v>
      </c>
      <c r="N155" s="24">
        <f>SUM(N156:N158)</f>
        <v>61</v>
      </c>
    </row>
    <row r="156" spans="1:15" ht="22.5" customHeight="1" hidden="1" outlineLevel="2">
      <c r="A156" s="20"/>
      <c r="B156" s="21"/>
      <c r="C156" s="22" t="s">
        <v>556</v>
      </c>
      <c r="D156" s="13" t="s">
        <v>41</v>
      </c>
      <c r="E156" s="16">
        <v>1</v>
      </c>
      <c r="F156" s="17">
        <f>22.61*1.096*1.25*1.18*1.074*1.118*1.091*1.078*1.077*1.08</f>
        <v>60.04</v>
      </c>
      <c r="G156" s="13"/>
      <c r="H156" s="13" t="s">
        <v>557</v>
      </c>
      <c r="I156" s="13"/>
      <c r="J156" s="17"/>
      <c r="K156" s="17"/>
      <c r="L156" s="15">
        <f>'[5]Раздел №1'!$I$42</f>
        <v>582.9</v>
      </c>
      <c r="M156" s="24"/>
      <c r="N156" s="24">
        <f>E156*F156</f>
        <v>60</v>
      </c>
      <c r="O156" s="7" t="s">
        <v>630</v>
      </c>
    </row>
    <row r="157" spans="1:15" ht="12.75" customHeight="1" hidden="1" outlineLevel="2">
      <c r="A157" s="20"/>
      <c r="B157" s="21"/>
      <c r="C157" s="22" t="s">
        <v>57</v>
      </c>
      <c r="D157" s="13" t="s">
        <v>33</v>
      </c>
      <c r="E157" s="16">
        <f>0.2/100</f>
        <v>0.002</v>
      </c>
      <c r="F157" s="17">
        <f>82.28*1.096*1.25*1.18*1.074*1.118*1.091*1.078*1.077*1.08</f>
        <v>218.49</v>
      </c>
      <c r="G157" s="13"/>
      <c r="H157" s="13" t="s">
        <v>557</v>
      </c>
      <c r="I157" s="13"/>
      <c r="J157" s="13"/>
      <c r="K157" s="15"/>
      <c r="L157" s="15">
        <f>'[5]Раздел №1'!$I$42</f>
        <v>582.9</v>
      </c>
      <c r="M157" s="24"/>
      <c r="N157" s="24">
        <f>E157*F157</f>
        <v>0.4</v>
      </c>
      <c r="O157" s="7" t="s">
        <v>444</v>
      </c>
    </row>
    <row r="158" spans="1:14" ht="12.75" customHeight="1" hidden="1" outlineLevel="2">
      <c r="A158" s="20"/>
      <c r="B158" s="21"/>
      <c r="C158" s="22" t="s">
        <v>56</v>
      </c>
      <c r="D158" s="13" t="s">
        <v>33</v>
      </c>
      <c r="E158" s="16">
        <f>0.00048*1000/100</f>
        <v>0.005</v>
      </c>
      <c r="F158" s="17">
        <f>49207.49/1110*1.18*1.096*1.25*1.074*1.118*1.091*1.078*1.077*1.08</f>
        <v>117.72</v>
      </c>
      <c r="G158" s="13"/>
      <c r="H158" s="13" t="s">
        <v>557</v>
      </c>
      <c r="I158" s="13"/>
      <c r="J158" s="13"/>
      <c r="K158" s="15"/>
      <c r="L158" s="15">
        <f>'[5]Раздел №1'!$I$42</f>
        <v>582.9</v>
      </c>
      <c r="M158" s="24"/>
      <c r="N158" s="24">
        <f>E158*F158</f>
        <v>0.6</v>
      </c>
    </row>
    <row r="159" spans="1:14" ht="12.75" customHeight="1" hidden="1" outlineLevel="2">
      <c r="A159" s="20"/>
      <c r="B159" s="21"/>
      <c r="C159" s="22" t="s">
        <v>58</v>
      </c>
      <c r="D159" s="13" t="s">
        <v>33</v>
      </c>
      <c r="E159" s="16">
        <f>0.0009*1000/100</f>
        <v>0.009</v>
      </c>
      <c r="F159" s="17">
        <f>74.29/1.2*1.096*1.25*1.18*1.074*1.118*1.091*1.078*1.077*1.08</f>
        <v>164.39</v>
      </c>
      <c r="G159" s="13"/>
      <c r="H159" s="13" t="s">
        <v>557</v>
      </c>
      <c r="I159" s="13"/>
      <c r="J159" s="13"/>
      <c r="K159" s="15"/>
      <c r="L159" s="15">
        <f>'[5]Раздел №1'!$I$42</f>
        <v>582.9</v>
      </c>
      <c r="M159" s="24"/>
      <c r="N159" s="24">
        <f>E159*F159</f>
        <v>1.5</v>
      </c>
    </row>
    <row r="160" spans="1:14" ht="18" customHeight="1" outlineLevel="1" collapsed="1">
      <c r="A160" s="20" t="s">
        <v>673</v>
      </c>
      <c r="B160" s="21" t="s">
        <v>558</v>
      </c>
      <c r="C160" s="22"/>
      <c r="D160" s="13"/>
      <c r="E160" s="16"/>
      <c r="F160" s="17"/>
      <c r="G160" s="13" t="s">
        <v>559</v>
      </c>
      <c r="H160" s="13" t="s">
        <v>564</v>
      </c>
      <c r="I160" s="13">
        <f>42/100</f>
        <v>0.42</v>
      </c>
      <c r="J160" s="13">
        <v>1.15</v>
      </c>
      <c r="K160" s="17">
        <f>I160*J160</f>
        <v>0.48</v>
      </c>
      <c r="L160" s="15">
        <f>'[5]Раздел №1'!$I$42</f>
        <v>582.9</v>
      </c>
      <c r="M160" s="24">
        <f>K160*L160</f>
        <v>279.8</v>
      </c>
      <c r="N160" s="24">
        <f>SUM(N161:N163)</f>
        <v>6</v>
      </c>
    </row>
    <row r="161" spans="1:14" ht="12.75" customHeight="1" hidden="1" outlineLevel="2">
      <c r="A161" s="20"/>
      <c r="B161" s="21"/>
      <c r="C161" s="22" t="s">
        <v>560</v>
      </c>
      <c r="D161" s="13" t="s">
        <v>41</v>
      </c>
      <c r="E161" s="16">
        <v>1</v>
      </c>
      <c r="F161" s="17"/>
      <c r="G161" s="13"/>
      <c r="H161" s="13" t="s">
        <v>564</v>
      </c>
      <c r="I161" s="13"/>
      <c r="J161" s="13"/>
      <c r="K161" s="15"/>
      <c r="L161" s="15">
        <f>'[5]Раздел №1'!$I$42</f>
        <v>582.9</v>
      </c>
      <c r="M161" s="24"/>
      <c r="N161" s="24">
        <f>E161*F161</f>
        <v>0</v>
      </c>
    </row>
    <row r="162" spans="1:14" ht="12.75" customHeight="1" hidden="1" outlineLevel="2">
      <c r="A162" s="20"/>
      <c r="B162" s="21"/>
      <c r="C162" s="22" t="s">
        <v>61</v>
      </c>
      <c r="D162" s="13" t="s">
        <v>33</v>
      </c>
      <c r="E162" s="16">
        <f>0.008*1000/100</f>
        <v>0.08</v>
      </c>
      <c r="F162" s="17">
        <f>9712.71/1010*1.096*1.25*1.18*1.074*1.118*1.091*1.078*1.077*1.08</f>
        <v>25.54</v>
      </c>
      <c r="G162" s="13"/>
      <c r="H162" s="13" t="s">
        <v>564</v>
      </c>
      <c r="I162" s="13"/>
      <c r="J162" s="13"/>
      <c r="K162" s="15"/>
      <c r="L162" s="15">
        <f>'[5]Раздел №1'!$I$42</f>
        <v>582.9</v>
      </c>
      <c r="M162" s="24"/>
      <c r="N162" s="24">
        <f>E162*F162</f>
        <v>2</v>
      </c>
    </row>
    <row r="163" spans="1:14" ht="12.75" customHeight="1" hidden="1" outlineLevel="2">
      <c r="A163" s="20"/>
      <c r="B163" s="21"/>
      <c r="C163" s="22" t="s">
        <v>62</v>
      </c>
      <c r="D163" s="13" t="s">
        <v>33</v>
      </c>
      <c r="E163" s="16">
        <f>0.003*1000/100</f>
        <v>0.03</v>
      </c>
      <c r="F163" s="17">
        <f>49916.37/1000*1.18*1.096*1.25*1.074*1.118*1.091*1.078*1.077*1.08</f>
        <v>132.55</v>
      </c>
      <c r="G163" s="13"/>
      <c r="H163" s="13" t="s">
        <v>564</v>
      </c>
      <c r="I163" s="13"/>
      <c r="J163" s="13"/>
      <c r="K163" s="15"/>
      <c r="L163" s="15">
        <f>'[5]Раздел №1'!$I$42</f>
        <v>582.9</v>
      </c>
      <c r="M163" s="24"/>
      <c r="N163" s="24">
        <f>E163*F163</f>
        <v>4</v>
      </c>
    </row>
    <row r="164" spans="1:14" ht="17.25" customHeight="1" outlineLevel="1" collapsed="1">
      <c r="A164" s="20" t="s">
        <v>674</v>
      </c>
      <c r="B164" s="21" t="s">
        <v>561</v>
      </c>
      <c r="C164" s="22"/>
      <c r="D164" s="13"/>
      <c r="E164" s="16"/>
      <c r="F164" s="17"/>
      <c r="G164" s="13" t="s">
        <v>559</v>
      </c>
      <c r="H164" s="13" t="s">
        <v>562</v>
      </c>
      <c r="I164" s="13">
        <f>76.3/100</f>
        <v>0.763</v>
      </c>
      <c r="J164" s="13">
        <v>1.15</v>
      </c>
      <c r="K164" s="17">
        <f>I164*J164</f>
        <v>0.88</v>
      </c>
      <c r="L164" s="15">
        <f>'[5]Раздел №1'!$I$42</f>
        <v>582.9</v>
      </c>
      <c r="M164" s="24">
        <f>K164*L164</f>
        <v>513</v>
      </c>
      <c r="N164" s="24">
        <v>0</v>
      </c>
    </row>
    <row r="165" spans="1:14" ht="12.75" customHeight="1" hidden="1" outlineLevel="2">
      <c r="A165" s="20"/>
      <c r="B165" s="21"/>
      <c r="C165" s="22" t="s">
        <v>563</v>
      </c>
      <c r="D165" s="13" t="s">
        <v>41</v>
      </c>
      <c r="E165" s="16">
        <v>1</v>
      </c>
      <c r="F165" s="17"/>
      <c r="G165" s="13"/>
      <c r="H165" s="13" t="s">
        <v>562</v>
      </c>
      <c r="I165" s="13"/>
      <c r="J165" s="13"/>
      <c r="K165" s="15"/>
      <c r="L165" s="15">
        <f>'[5]Раздел №1'!$I$42</f>
        <v>582.9</v>
      </c>
      <c r="M165" s="24"/>
      <c r="N165" s="24">
        <f>E165*F165</f>
        <v>0</v>
      </c>
    </row>
    <row r="166" spans="1:14" ht="12.75" customHeight="1" hidden="1" outlineLevel="2">
      <c r="A166" s="20"/>
      <c r="B166" s="21"/>
      <c r="C166" s="22" t="s">
        <v>61</v>
      </c>
      <c r="D166" s="13" t="s">
        <v>33</v>
      </c>
      <c r="E166" s="16">
        <f>0.046*1000/100</f>
        <v>0.46</v>
      </c>
      <c r="F166" s="17">
        <f>9712.71/1010*1.096*1.25*1.18*1.074*1.118*1.091*1.078*1.077*1.08</f>
        <v>25.54</v>
      </c>
      <c r="G166" s="13"/>
      <c r="H166" s="13" t="s">
        <v>562</v>
      </c>
      <c r="I166" s="13"/>
      <c r="J166" s="13"/>
      <c r="K166" s="15"/>
      <c r="L166" s="15">
        <f>'[5]Раздел №1'!$I$42</f>
        <v>582.9</v>
      </c>
      <c r="M166" s="24"/>
      <c r="N166" s="24">
        <f>E166*F166</f>
        <v>11.7</v>
      </c>
    </row>
    <row r="167" spans="1:14" ht="12.75" customHeight="1" hidden="1" outlineLevel="2">
      <c r="A167" s="20"/>
      <c r="B167" s="21"/>
      <c r="C167" s="22" t="s">
        <v>62</v>
      </c>
      <c r="D167" s="13" t="s">
        <v>33</v>
      </c>
      <c r="E167" s="16">
        <f>0.013*1000/100</f>
        <v>0.13</v>
      </c>
      <c r="F167" s="17">
        <f>49916.37/1000*1.18*1.096*1.25*1.074*1.118*1.091*1.078*1.077*1.08</f>
        <v>132.55</v>
      </c>
      <c r="G167" s="13"/>
      <c r="H167" s="13" t="s">
        <v>562</v>
      </c>
      <c r="I167" s="13"/>
      <c r="J167" s="13"/>
      <c r="K167" s="15"/>
      <c r="L167" s="15">
        <f>'[5]Раздел №1'!$I$42</f>
        <v>582.9</v>
      </c>
      <c r="M167" s="24"/>
      <c r="N167" s="24">
        <f>E167*F167</f>
        <v>17.2</v>
      </c>
    </row>
    <row r="168" spans="1:14" ht="19.5" customHeight="1" outlineLevel="1" collapsed="1">
      <c r="A168" s="20" t="s">
        <v>675</v>
      </c>
      <c r="B168" s="21" t="s">
        <v>565</v>
      </c>
      <c r="C168" s="22"/>
      <c r="D168" s="13"/>
      <c r="E168" s="16"/>
      <c r="F168" s="17"/>
      <c r="G168" s="13" t="s">
        <v>559</v>
      </c>
      <c r="H168" s="13" t="s">
        <v>566</v>
      </c>
      <c r="I168" s="13">
        <f>52.4/100</f>
        <v>0.524</v>
      </c>
      <c r="J168" s="13">
        <v>1.15</v>
      </c>
      <c r="K168" s="17">
        <f>I168*J168</f>
        <v>0.6</v>
      </c>
      <c r="L168" s="15">
        <f>'[5]Раздел №1'!$I$42</f>
        <v>582.9</v>
      </c>
      <c r="M168" s="24">
        <f>K168*L168</f>
        <v>349.7</v>
      </c>
      <c r="N168" s="24">
        <v>0</v>
      </c>
    </row>
    <row r="169" spans="1:14" ht="0.75" customHeight="1" hidden="1" outlineLevel="2">
      <c r="A169" s="20"/>
      <c r="B169" s="21"/>
      <c r="C169" s="22"/>
      <c r="D169" s="13"/>
      <c r="E169" s="16"/>
      <c r="F169" s="17"/>
      <c r="G169" s="13"/>
      <c r="H169" s="13"/>
      <c r="I169" s="13"/>
      <c r="J169" s="13"/>
      <c r="K169" s="17"/>
      <c r="L169" s="15">
        <f>'[5]Раздел №1'!$I$42</f>
        <v>582.9</v>
      </c>
      <c r="M169" s="24"/>
      <c r="N169" s="24"/>
    </row>
    <row r="170" spans="1:14" ht="15.75" customHeight="1" outlineLevel="1" collapsed="1">
      <c r="A170" s="20" t="s">
        <v>676</v>
      </c>
      <c r="B170" s="21" t="s">
        <v>567</v>
      </c>
      <c r="C170" s="22"/>
      <c r="D170" s="13"/>
      <c r="E170" s="16"/>
      <c r="F170" s="17"/>
      <c r="G170" s="13" t="s">
        <v>23</v>
      </c>
      <c r="H170" s="13"/>
      <c r="I170" s="13">
        <f>I171+I172</f>
        <v>0.2391</v>
      </c>
      <c r="J170" s="13"/>
      <c r="K170" s="17">
        <f>K171+K172</f>
        <v>0.28</v>
      </c>
      <c r="L170" s="15">
        <f>'[5]Раздел №1'!$I$42</f>
        <v>582.9</v>
      </c>
      <c r="M170" s="24">
        <f>K170*L170</f>
        <v>163.2</v>
      </c>
      <c r="N170" s="24"/>
    </row>
    <row r="171" spans="1:14" ht="16.5" customHeight="1" outlineLevel="1">
      <c r="A171" s="20"/>
      <c r="B171" s="21" t="s">
        <v>570</v>
      </c>
      <c r="C171" s="22"/>
      <c r="D171" s="13"/>
      <c r="E171" s="16"/>
      <c r="F171" s="17"/>
      <c r="G171" s="13"/>
      <c r="H171" s="13" t="s">
        <v>568</v>
      </c>
      <c r="I171" s="13">
        <f>0.21/100</f>
        <v>0.0021</v>
      </c>
      <c r="J171" s="13">
        <v>1.2</v>
      </c>
      <c r="K171" s="17">
        <f>I171*J171</f>
        <v>0</v>
      </c>
      <c r="L171" s="15">
        <f>'[5]Раздел №1'!$I$42</f>
        <v>582.9</v>
      </c>
      <c r="M171" s="24">
        <f>K171*L171</f>
        <v>0</v>
      </c>
      <c r="N171" s="24"/>
    </row>
    <row r="172" spans="1:14" ht="18" customHeight="1" outlineLevel="1">
      <c r="A172" s="20"/>
      <c r="B172" s="21" t="s">
        <v>571</v>
      </c>
      <c r="C172" s="22"/>
      <c r="D172" s="13"/>
      <c r="E172" s="16"/>
      <c r="F172" s="17"/>
      <c r="G172" s="13"/>
      <c r="H172" s="13" t="s">
        <v>569</v>
      </c>
      <c r="I172" s="13">
        <f>23.7/100</f>
        <v>0.237</v>
      </c>
      <c r="J172" s="13">
        <v>1.2</v>
      </c>
      <c r="K172" s="17">
        <f>I172*J172</f>
        <v>0.28</v>
      </c>
      <c r="L172" s="15">
        <f>'[5]Раздел №1'!$I$42</f>
        <v>582.9</v>
      </c>
      <c r="M172" s="24">
        <f>K172*L172</f>
        <v>163.2</v>
      </c>
      <c r="N172" s="24"/>
    </row>
    <row r="173" spans="1:14" ht="15.75" customHeight="1" outlineLevel="1">
      <c r="A173" s="20" t="s">
        <v>677</v>
      </c>
      <c r="B173" s="21" t="s">
        <v>573</v>
      </c>
      <c r="C173" s="22"/>
      <c r="D173" s="13"/>
      <c r="E173" s="16"/>
      <c r="F173" s="17"/>
      <c r="G173" s="13" t="s">
        <v>544</v>
      </c>
      <c r="H173" s="13" t="s">
        <v>572</v>
      </c>
      <c r="I173" s="13">
        <f>68.8/100</f>
        <v>0.688</v>
      </c>
      <c r="J173" s="13">
        <v>1.15</v>
      </c>
      <c r="K173" s="17">
        <f>I173*J173</f>
        <v>0.79</v>
      </c>
      <c r="L173" s="15">
        <f>'[5]Раздел №1'!$I$42</f>
        <v>582.9</v>
      </c>
      <c r="M173" s="24">
        <f>K173*L173</f>
        <v>460.5</v>
      </c>
      <c r="N173" s="24"/>
    </row>
    <row r="174" spans="1:14" ht="18" customHeight="1" outlineLevel="1">
      <c r="A174" s="20" t="s">
        <v>678</v>
      </c>
      <c r="B174" s="21" t="s">
        <v>574</v>
      </c>
      <c r="C174" s="22"/>
      <c r="D174" s="13"/>
      <c r="E174" s="16"/>
      <c r="F174" s="17"/>
      <c r="G174" s="13" t="s">
        <v>544</v>
      </c>
      <c r="H174" s="13" t="s">
        <v>575</v>
      </c>
      <c r="I174" s="13">
        <f>64.24/100</f>
        <v>0.6424</v>
      </c>
      <c r="J174" s="13">
        <v>1.15</v>
      </c>
      <c r="K174" s="17">
        <f>I174*J174</f>
        <v>0.74</v>
      </c>
      <c r="L174" s="15">
        <f>'[5]Раздел №1'!$I$42</f>
        <v>582.9</v>
      </c>
      <c r="M174" s="24">
        <f>K174*L174</f>
        <v>431.3</v>
      </c>
      <c r="N174" s="24">
        <f>N177+N176+N175</f>
        <v>0.4</v>
      </c>
    </row>
    <row r="175" spans="1:15" ht="12.75" customHeight="1" hidden="1" outlineLevel="2">
      <c r="A175" s="20"/>
      <c r="B175" s="21"/>
      <c r="C175" s="22" t="s">
        <v>576</v>
      </c>
      <c r="D175" s="13" t="s">
        <v>136</v>
      </c>
      <c r="E175" s="16">
        <f>99.8/100</f>
        <v>0.998</v>
      </c>
      <c r="F175" s="32"/>
      <c r="G175" s="13"/>
      <c r="H175" s="13" t="s">
        <v>575</v>
      </c>
      <c r="I175" s="13"/>
      <c r="J175" s="13"/>
      <c r="K175" s="17"/>
      <c r="L175" s="15">
        <f>'[5]Раздел №1'!$I$42</f>
        <v>582.9</v>
      </c>
      <c r="M175" s="24"/>
      <c r="N175" s="24">
        <f>E175*F175</f>
        <v>0</v>
      </c>
      <c r="O175" s="7" t="s">
        <v>578</v>
      </c>
    </row>
    <row r="176" spans="1:14" ht="12.75" customHeight="1" hidden="1" outlineLevel="2">
      <c r="A176" s="20"/>
      <c r="B176" s="21"/>
      <c r="C176" s="22"/>
      <c r="D176" s="13" t="s">
        <v>33</v>
      </c>
      <c r="E176" s="16">
        <f>0.0012*1000/100</f>
        <v>0.012</v>
      </c>
      <c r="F176" s="17">
        <f>42090.84*1.18/1120/100*1.074*1.118*1.091*1.078*1.077*1.08</f>
        <v>0.73</v>
      </c>
      <c r="G176" s="13"/>
      <c r="H176" s="13" t="s">
        <v>575</v>
      </c>
      <c r="I176" s="13"/>
      <c r="J176" s="13"/>
      <c r="K176" s="17"/>
      <c r="L176" s="15">
        <f>'[5]Раздел №1'!$I$42</f>
        <v>582.9</v>
      </c>
      <c r="M176" s="24"/>
      <c r="N176" s="24">
        <f>E176*F176</f>
        <v>0</v>
      </c>
    </row>
    <row r="177" spans="1:14" ht="12.75" customHeight="1" hidden="1" outlineLevel="2">
      <c r="A177" s="20"/>
      <c r="B177" s="21"/>
      <c r="C177" s="22" t="s">
        <v>577</v>
      </c>
      <c r="D177" s="13" t="s">
        <v>33</v>
      </c>
      <c r="E177" s="16">
        <f>1.5/100</f>
        <v>0.015</v>
      </c>
      <c r="F177" s="17">
        <f>10*1.18*1.096*1.25*1.074*1.118*1.091*1.078*1.077*1.08</f>
        <v>26.55</v>
      </c>
      <c r="G177" s="13"/>
      <c r="H177" s="13" t="s">
        <v>575</v>
      </c>
      <c r="I177" s="13"/>
      <c r="J177" s="13"/>
      <c r="K177" s="15"/>
      <c r="L177" s="15">
        <f>'[5]Раздел №1'!$I$42</f>
        <v>582.9</v>
      </c>
      <c r="M177" s="24"/>
      <c r="N177" s="24">
        <f>E177*F177</f>
        <v>0.4</v>
      </c>
    </row>
    <row r="178" spans="1:14" ht="16.5" customHeight="1" outlineLevel="1" collapsed="1">
      <c r="A178" s="60" t="s">
        <v>679</v>
      </c>
      <c r="B178" s="21" t="s">
        <v>597</v>
      </c>
      <c r="C178" s="22"/>
      <c r="D178" s="13"/>
      <c r="E178" s="16"/>
      <c r="F178" s="32"/>
      <c r="G178" s="13"/>
      <c r="H178" s="13"/>
      <c r="I178" s="17"/>
      <c r="J178" s="15"/>
      <c r="K178" s="17"/>
      <c r="L178" s="15">
        <f>'[5]Раздел №1'!$I$42</f>
        <v>582.9</v>
      </c>
      <c r="M178" s="24"/>
      <c r="N178" s="24"/>
    </row>
    <row r="179" spans="1:18" ht="16.5" customHeight="1" outlineLevel="1">
      <c r="A179" s="20" t="s">
        <v>758</v>
      </c>
      <c r="B179" s="21" t="s">
        <v>599</v>
      </c>
      <c r="C179" s="22"/>
      <c r="D179" s="13"/>
      <c r="E179" s="16"/>
      <c r="F179" s="17"/>
      <c r="G179" s="13"/>
      <c r="H179" s="13"/>
      <c r="I179" s="17"/>
      <c r="J179" s="15"/>
      <c r="K179" s="17"/>
      <c r="L179" s="15">
        <f>'[5]Раздел №1'!$I$42</f>
        <v>582.9</v>
      </c>
      <c r="M179" s="24"/>
      <c r="N179" s="24"/>
      <c r="O179" s="53"/>
      <c r="R179" s="2" t="s">
        <v>103</v>
      </c>
    </row>
    <row r="180" spans="1:14" ht="14.25" customHeight="1" outlineLevel="1">
      <c r="A180" s="20"/>
      <c r="B180" s="21" t="s">
        <v>600</v>
      </c>
      <c r="C180" s="22"/>
      <c r="D180" s="13"/>
      <c r="E180" s="16"/>
      <c r="F180" s="32"/>
      <c r="G180" s="13" t="s">
        <v>593</v>
      </c>
      <c r="H180" s="13" t="s">
        <v>602</v>
      </c>
      <c r="I180" s="17">
        <v>0.29</v>
      </c>
      <c r="J180" s="15">
        <v>1</v>
      </c>
      <c r="K180" s="17">
        <f>I180*J180</f>
        <v>0.29</v>
      </c>
      <c r="L180" s="15">
        <f>'[5]Раздел №1'!$I$42</f>
        <v>582.9</v>
      </c>
      <c r="M180" s="54">
        <f>K180*L180</f>
        <v>169</v>
      </c>
      <c r="N180" s="54">
        <f>N182+N181</f>
        <v>13</v>
      </c>
    </row>
    <row r="181" spans="1:15" ht="12.75" customHeight="1" hidden="1" outlineLevel="2">
      <c r="A181" s="20"/>
      <c r="B181" s="21"/>
      <c r="C181" s="22" t="s">
        <v>57</v>
      </c>
      <c r="D181" s="13" t="s">
        <v>33</v>
      </c>
      <c r="E181" s="16">
        <f>0.05/100</f>
        <v>0.001</v>
      </c>
      <c r="F181" s="17">
        <f>82.28*1.096*1.25*1.18*1.074*1.118*1.091*1.078*1.077*1.08</f>
        <v>218.49</v>
      </c>
      <c r="G181" s="13"/>
      <c r="H181" s="13"/>
      <c r="I181" s="17"/>
      <c r="J181" s="15"/>
      <c r="K181" s="17"/>
      <c r="L181" s="15">
        <f>'[5]Раздел №1'!$I$42</f>
        <v>582.9</v>
      </c>
      <c r="M181" s="54"/>
      <c r="N181" s="54">
        <f>E181*F181</f>
        <v>0</v>
      </c>
      <c r="O181" s="7" t="s">
        <v>444</v>
      </c>
    </row>
    <row r="182" spans="1:14" ht="12.75" customHeight="1" hidden="1" outlineLevel="2">
      <c r="A182" s="20"/>
      <c r="B182" s="21"/>
      <c r="C182" s="22" t="s">
        <v>74</v>
      </c>
      <c r="D182" s="13" t="s">
        <v>41</v>
      </c>
      <c r="E182" s="16">
        <v>1</v>
      </c>
      <c r="F182" s="17">
        <f>5*1.096*1.25*1.18*1.074*1.118*1.091*1.078*1.077*1.08</f>
        <v>13.28</v>
      </c>
      <c r="G182" s="13"/>
      <c r="H182" s="13"/>
      <c r="I182" s="17"/>
      <c r="J182" s="17"/>
      <c r="K182" s="17"/>
      <c r="L182" s="15">
        <f>'[5]Раздел №1'!$I$42</f>
        <v>582.9</v>
      </c>
      <c r="M182" s="54"/>
      <c r="N182" s="24">
        <f>E182*F182</f>
        <v>13.3</v>
      </c>
    </row>
    <row r="183" spans="1:14" ht="16.5" customHeight="1" outlineLevel="1" collapsed="1">
      <c r="A183" s="20"/>
      <c r="B183" s="21" t="s">
        <v>601</v>
      </c>
      <c r="C183" s="22"/>
      <c r="D183" s="13"/>
      <c r="E183" s="16"/>
      <c r="F183" s="32"/>
      <c r="G183" s="13" t="s">
        <v>593</v>
      </c>
      <c r="H183" s="13" t="s">
        <v>602</v>
      </c>
      <c r="I183" s="17">
        <v>0.21</v>
      </c>
      <c r="J183" s="15">
        <v>1</v>
      </c>
      <c r="K183" s="17">
        <f>I183*J183</f>
        <v>0.21</v>
      </c>
      <c r="L183" s="15">
        <f>'[5]Раздел №1'!$I$42</f>
        <v>582.9</v>
      </c>
      <c r="M183" s="54">
        <f>K183*L183</f>
        <v>122</v>
      </c>
      <c r="N183" s="54">
        <f>N185+N184</f>
        <v>14</v>
      </c>
    </row>
    <row r="184" spans="1:15" ht="12.75" customHeight="1" hidden="1" outlineLevel="2">
      <c r="A184" s="20"/>
      <c r="B184" s="21"/>
      <c r="C184" s="22" t="s">
        <v>57</v>
      </c>
      <c r="D184" s="13" t="s">
        <v>33</v>
      </c>
      <c r="E184" s="16">
        <f>0.05/100</f>
        <v>0.001</v>
      </c>
      <c r="F184" s="17">
        <f>82.28*1.096*1.25*1.18*1.074*1.118*1.091*1.078*1.077*1.08</f>
        <v>218.49</v>
      </c>
      <c r="G184" s="13"/>
      <c r="H184" s="13"/>
      <c r="I184" s="17"/>
      <c r="J184" s="15"/>
      <c r="K184" s="17"/>
      <c r="L184" s="15">
        <f>'[5]Раздел №1'!$I$42</f>
        <v>582.9</v>
      </c>
      <c r="M184" s="54"/>
      <c r="N184" s="24">
        <f>E184*F184</f>
        <v>0.2</v>
      </c>
      <c r="O184" s="7" t="s">
        <v>444</v>
      </c>
    </row>
    <row r="185" spans="1:14" ht="12.75" customHeight="1" hidden="1" outlineLevel="2">
      <c r="A185" s="20"/>
      <c r="B185" s="21"/>
      <c r="C185" s="22" t="s">
        <v>74</v>
      </c>
      <c r="D185" s="13" t="s">
        <v>41</v>
      </c>
      <c r="E185" s="16">
        <v>1</v>
      </c>
      <c r="F185" s="17">
        <f>5*1.096*1.25*1.18*1.074*1.118*1.091*1.078*1.077*1.08</f>
        <v>13.28</v>
      </c>
      <c r="G185" s="13"/>
      <c r="H185" s="13" t="s">
        <v>543</v>
      </c>
      <c r="I185" s="17"/>
      <c r="J185" s="17"/>
      <c r="K185" s="17"/>
      <c r="L185" s="15">
        <f>'[5]Раздел №1'!$I$42</f>
        <v>582.9</v>
      </c>
      <c r="M185" s="54"/>
      <c r="N185" s="24">
        <f>E185*F185</f>
        <v>13.3</v>
      </c>
    </row>
    <row r="186" spans="1:14" ht="12.75" customHeight="1" outlineLevel="1" collapsed="1">
      <c r="A186" s="20" t="s">
        <v>759</v>
      </c>
      <c r="B186" s="21" t="s">
        <v>603</v>
      </c>
      <c r="C186" s="22"/>
      <c r="D186" s="13"/>
      <c r="E186" s="16"/>
      <c r="F186" s="32"/>
      <c r="G186" s="13"/>
      <c r="H186" s="13"/>
      <c r="I186" s="17"/>
      <c r="J186" s="15"/>
      <c r="K186" s="17"/>
      <c r="L186" s="15">
        <f>'[5]Раздел №1'!$I$42</f>
        <v>582.9</v>
      </c>
      <c r="M186" s="54"/>
      <c r="N186" s="24"/>
    </row>
    <row r="187" spans="1:14" ht="15.75" customHeight="1" outlineLevel="1">
      <c r="A187" s="20"/>
      <c r="B187" s="21" t="s">
        <v>600</v>
      </c>
      <c r="C187" s="22"/>
      <c r="D187" s="13"/>
      <c r="E187" s="16"/>
      <c r="F187" s="32"/>
      <c r="G187" s="13" t="s">
        <v>593</v>
      </c>
      <c r="H187" s="13" t="s">
        <v>602</v>
      </c>
      <c r="I187" s="17">
        <v>0.37</v>
      </c>
      <c r="J187" s="15">
        <v>1</v>
      </c>
      <c r="K187" s="17">
        <f>I187*J187</f>
        <v>0.37</v>
      </c>
      <c r="L187" s="15">
        <f>'[5]Раздел №1'!$I$42</f>
        <v>582.9</v>
      </c>
      <c r="M187" s="54">
        <f>K187*L187</f>
        <v>216</v>
      </c>
      <c r="N187" s="54">
        <f>N188</f>
        <v>4</v>
      </c>
    </row>
    <row r="188" spans="1:15" ht="12.75" customHeight="1" hidden="1" outlineLevel="2">
      <c r="A188" s="20"/>
      <c r="B188" s="21"/>
      <c r="C188" s="22" t="s">
        <v>38</v>
      </c>
      <c r="D188" s="13" t="s">
        <v>33</v>
      </c>
      <c r="E188" s="16">
        <v>0.01</v>
      </c>
      <c r="F188" s="17">
        <f>142.03*1.18*1.096*1.25*1.074*1.118*1.091*1.078*1.077*1.08</f>
        <v>377.15</v>
      </c>
      <c r="G188" s="13"/>
      <c r="H188" s="13" t="s">
        <v>610</v>
      </c>
      <c r="I188" s="17"/>
      <c r="J188" s="15"/>
      <c r="K188" s="17"/>
      <c r="L188" s="15">
        <f>'[5]Раздел №1'!$I$42</f>
        <v>582.9</v>
      </c>
      <c r="M188" s="54"/>
      <c r="N188" s="24">
        <f>E188*F188</f>
        <v>3.8</v>
      </c>
      <c r="O188" s="7" t="s">
        <v>433</v>
      </c>
    </row>
    <row r="189" spans="1:14" ht="15" customHeight="1" outlineLevel="1" collapsed="1">
      <c r="A189" s="20"/>
      <c r="B189" s="21" t="s">
        <v>601</v>
      </c>
      <c r="C189" s="22"/>
      <c r="D189" s="13"/>
      <c r="E189" s="16"/>
      <c r="F189" s="32"/>
      <c r="G189" s="13" t="s">
        <v>593</v>
      </c>
      <c r="H189" s="13" t="s">
        <v>602</v>
      </c>
      <c r="I189" s="17">
        <v>0.31</v>
      </c>
      <c r="J189" s="15">
        <v>1</v>
      </c>
      <c r="K189" s="17">
        <f>I189*J189</f>
        <v>0.31</v>
      </c>
      <c r="L189" s="15">
        <f>'[5]Раздел №1'!$I$42</f>
        <v>582.9</v>
      </c>
      <c r="M189" s="54">
        <f>K189*L189</f>
        <v>181</v>
      </c>
      <c r="N189" s="54">
        <f>N190</f>
        <v>4</v>
      </c>
    </row>
    <row r="190" spans="1:15" ht="12.75" customHeight="1" hidden="1" outlineLevel="2">
      <c r="A190" s="20"/>
      <c r="B190" s="21"/>
      <c r="C190" s="22" t="s">
        <v>38</v>
      </c>
      <c r="D190" s="13" t="s">
        <v>33</v>
      </c>
      <c r="E190" s="16">
        <v>0.01</v>
      </c>
      <c r="F190" s="17">
        <f>142.03*1.18*1.096*1.25*1.074*1.118*1.091*1.078*1.077*1.08</f>
        <v>377.15</v>
      </c>
      <c r="G190" s="13"/>
      <c r="H190" s="13" t="s">
        <v>610</v>
      </c>
      <c r="I190" s="17"/>
      <c r="J190" s="15"/>
      <c r="K190" s="17"/>
      <c r="L190" s="15">
        <f>'[5]Раздел №1'!$I$42</f>
        <v>582.9</v>
      </c>
      <c r="M190" s="54"/>
      <c r="N190" s="24">
        <f>E190*F190</f>
        <v>3.8</v>
      </c>
      <c r="O190" s="7" t="s">
        <v>433</v>
      </c>
    </row>
    <row r="191" spans="1:14" ht="12.75" customHeight="1" outlineLevel="1" collapsed="1">
      <c r="A191" s="20" t="s">
        <v>680</v>
      </c>
      <c r="B191" s="21" t="s">
        <v>607</v>
      </c>
      <c r="C191" s="22"/>
      <c r="D191" s="13"/>
      <c r="E191" s="16"/>
      <c r="F191" s="32"/>
      <c r="G191" s="13"/>
      <c r="H191" s="13"/>
      <c r="I191" s="17"/>
      <c r="J191" s="17"/>
      <c r="K191" s="17"/>
      <c r="L191" s="15">
        <f>'[5]Раздел №1'!$I$42</f>
        <v>582.9</v>
      </c>
      <c r="M191" s="24"/>
      <c r="N191" s="24"/>
    </row>
    <row r="192" spans="1:14" ht="15.75" customHeight="1" outlineLevel="1">
      <c r="A192" s="20"/>
      <c r="B192" s="21" t="s">
        <v>605</v>
      </c>
      <c r="C192" s="22"/>
      <c r="D192" s="13"/>
      <c r="E192" s="16"/>
      <c r="F192" s="32"/>
      <c r="G192" s="13" t="s">
        <v>593</v>
      </c>
      <c r="H192" s="13" t="s">
        <v>594</v>
      </c>
      <c r="I192" s="17">
        <f>106.04/100</f>
        <v>1.06</v>
      </c>
      <c r="J192" s="17">
        <v>1</v>
      </c>
      <c r="K192" s="17">
        <f>I192*J192</f>
        <v>1.06</v>
      </c>
      <c r="L192" s="15">
        <f>'[5]Раздел №1'!$I$42</f>
        <v>582.9</v>
      </c>
      <c r="M192" s="54">
        <f>K192*L192</f>
        <v>618</v>
      </c>
      <c r="N192" s="24"/>
    </row>
    <row r="193" spans="1:14" ht="15.75" customHeight="1" outlineLevel="1">
      <c r="A193" s="20"/>
      <c r="B193" s="21" t="s">
        <v>606</v>
      </c>
      <c r="C193" s="22"/>
      <c r="D193" s="13"/>
      <c r="E193" s="16"/>
      <c r="F193" s="17"/>
      <c r="G193" s="13" t="s">
        <v>593</v>
      </c>
      <c r="H193" s="13" t="s">
        <v>595</v>
      </c>
      <c r="I193" s="17">
        <f>100/100</f>
        <v>1</v>
      </c>
      <c r="J193" s="17">
        <v>1</v>
      </c>
      <c r="K193" s="17">
        <f>I193*J193</f>
        <v>1</v>
      </c>
      <c r="L193" s="15">
        <f>'[5]Раздел №1'!$I$42</f>
        <v>582.9</v>
      </c>
      <c r="M193" s="54">
        <f>K193*L193</f>
        <v>583</v>
      </c>
      <c r="N193" s="24"/>
    </row>
    <row r="194" spans="1:14" ht="18" customHeight="1" outlineLevel="1">
      <c r="A194" s="61" t="s">
        <v>681</v>
      </c>
      <c r="B194" s="21" t="s">
        <v>609</v>
      </c>
      <c r="C194" s="22"/>
      <c r="D194" s="13"/>
      <c r="E194" s="16"/>
      <c r="F194" s="17"/>
      <c r="G194" s="13" t="s">
        <v>593</v>
      </c>
      <c r="H194" s="13" t="s">
        <v>623</v>
      </c>
      <c r="I194" s="17">
        <f>37.28/100+0.39</f>
        <v>0.76</v>
      </c>
      <c r="J194" s="17">
        <v>1</v>
      </c>
      <c r="K194" s="17">
        <f>I194*J194</f>
        <v>0.76</v>
      </c>
      <c r="L194" s="15">
        <f>'[5]Раздел №1'!$I$42</f>
        <v>582.9</v>
      </c>
      <c r="M194" s="54">
        <f>K194*L194</f>
        <v>443</v>
      </c>
      <c r="N194" s="24">
        <f>SUM(N195:N198)</f>
        <v>7.6</v>
      </c>
    </row>
    <row r="195" spans="1:15" ht="15.75" customHeight="1" hidden="1" outlineLevel="2">
      <c r="A195" s="20"/>
      <c r="B195" s="21"/>
      <c r="C195" s="22" t="s">
        <v>63</v>
      </c>
      <c r="D195" s="13" t="s">
        <v>33</v>
      </c>
      <c r="E195" s="16">
        <f>0.0043*1000/100</f>
        <v>0.043</v>
      </c>
      <c r="F195" s="17">
        <f>24426.83/1120*1.096*1.25*1.18*1.074*1.118*1.091*1.078*1.077*1.08</f>
        <v>57.91</v>
      </c>
      <c r="G195" s="13"/>
      <c r="H195" s="13"/>
      <c r="I195" s="17"/>
      <c r="J195" s="17"/>
      <c r="K195" s="17"/>
      <c r="L195" s="15">
        <f>'[5]Раздел №1'!$I$42</f>
        <v>582.9</v>
      </c>
      <c r="M195" s="54"/>
      <c r="N195" s="24">
        <f>E195*F195</f>
        <v>2.5</v>
      </c>
      <c r="O195" s="7" t="s">
        <v>445</v>
      </c>
    </row>
    <row r="196" spans="1:15" ht="15.75" customHeight="1" hidden="1" outlineLevel="2">
      <c r="A196" s="20"/>
      <c r="B196" s="21"/>
      <c r="C196" s="22" t="s">
        <v>82</v>
      </c>
      <c r="D196" s="13" t="s">
        <v>33</v>
      </c>
      <c r="E196" s="16">
        <f>0.005*1000/100</f>
        <v>0.05</v>
      </c>
      <c r="F196" s="17">
        <f>20.32*1.096*1.25*1.18*1.074*1.118*1.091*1.078*1.077*1.08</f>
        <v>53.96</v>
      </c>
      <c r="G196" s="13"/>
      <c r="H196" s="13"/>
      <c r="I196" s="17"/>
      <c r="J196" s="17"/>
      <c r="K196" s="17"/>
      <c r="L196" s="15">
        <f>'[5]Раздел №1'!$I$42</f>
        <v>582.9</v>
      </c>
      <c r="M196" s="54"/>
      <c r="N196" s="24">
        <f>E196*F196</f>
        <v>2.7</v>
      </c>
      <c r="O196" s="7" t="s">
        <v>461</v>
      </c>
    </row>
    <row r="197" spans="1:15" ht="15.75" customHeight="1" hidden="1" outlineLevel="2">
      <c r="A197" s="20"/>
      <c r="B197" s="21"/>
      <c r="C197" s="22" t="s">
        <v>57</v>
      </c>
      <c r="D197" s="13" t="s">
        <v>33</v>
      </c>
      <c r="E197" s="16">
        <f>1.05/100</f>
        <v>0.011</v>
      </c>
      <c r="F197" s="17">
        <f>82.28*1.096*1.25*1.18*1.074*1.118*1.091*1.078*1.077*1.08</f>
        <v>218.49</v>
      </c>
      <c r="G197" s="13"/>
      <c r="H197" s="13"/>
      <c r="I197" s="17"/>
      <c r="J197" s="17"/>
      <c r="K197" s="17"/>
      <c r="L197" s="15">
        <f>'[5]Раздел №1'!$I$42</f>
        <v>582.9</v>
      </c>
      <c r="M197" s="54"/>
      <c r="N197" s="24">
        <f>E197*F197</f>
        <v>2.4</v>
      </c>
      <c r="O197" s="7" t="s">
        <v>444</v>
      </c>
    </row>
    <row r="198" spans="1:14" ht="28.5" customHeight="1" outlineLevel="1" collapsed="1">
      <c r="A198" s="20" t="s">
        <v>682</v>
      </c>
      <c r="B198" s="21" t="s">
        <v>619</v>
      </c>
      <c r="C198" s="22"/>
      <c r="D198" s="13"/>
      <c r="E198" s="16"/>
      <c r="F198" s="32"/>
      <c r="G198" s="13" t="s">
        <v>544</v>
      </c>
      <c r="H198" s="13" t="s">
        <v>596</v>
      </c>
      <c r="I198" s="17">
        <v>1.55</v>
      </c>
      <c r="J198" s="17">
        <v>1.2</v>
      </c>
      <c r="K198" s="17">
        <f>I198*J198</f>
        <v>1.86</v>
      </c>
      <c r="L198" s="15">
        <f>'[5]Раздел №1'!$I$42</f>
        <v>582.9</v>
      </c>
      <c r="M198" s="54">
        <f>K198*L198</f>
        <v>1084</v>
      </c>
      <c r="N198" s="54"/>
    </row>
    <row r="199" spans="1:14" ht="12.75" customHeight="1" hidden="1" outlineLevel="2">
      <c r="A199" s="20"/>
      <c r="B199" s="21"/>
      <c r="C199" s="22"/>
      <c r="D199" s="13"/>
      <c r="E199" s="16"/>
      <c r="F199" s="32"/>
      <c r="G199" s="13"/>
      <c r="H199" s="13"/>
      <c r="I199" s="13"/>
      <c r="J199" s="13"/>
      <c r="K199" s="15"/>
      <c r="L199" s="15">
        <f>'[5]Раздел №1'!$I$42</f>
        <v>582.9</v>
      </c>
      <c r="M199" s="24"/>
      <c r="N199" s="24"/>
    </row>
    <row r="200" spans="1:14" ht="17.25" customHeight="1" outlineLevel="1" collapsed="1">
      <c r="A200" s="20" t="s">
        <v>683</v>
      </c>
      <c r="B200" s="21" t="s">
        <v>625</v>
      </c>
      <c r="C200" s="22"/>
      <c r="D200" s="13"/>
      <c r="E200" s="16"/>
      <c r="F200" s="32"/>
      <c r="G200" s="13"/>
      <c r="H200" s="13"/>
      <c r="I200" s="17"/>
      <c r="J200" s="17"/>
      <c r="K200" s="17"/>
      <c r="L200" s="15">
        <f>'[5]Раздел №1'!$I$42</f>
        <v>582.9</v>
      </c>
      <c r="M200" s="24"/>
      <c r="N200" s="24"/>
    </row>
    <row r="201" spans="1:14" ht="15" customHeight="1" outlineLevel="1">
      <c r="A201" s="20"/>
      <c r="B201" s="21" t="s">
        <v>626</v>
      </c>
      <c r="C201" s="22"/>
      <c r="D201" s="13"/>
      <c r="E201" s="16"/>
      <c r="F201" s="32"/>
      <c r="G201" s="13" t="s">
        <v>593</v>
      </c>
      <c r="H201" s="13" t="s">
        <v>629</v>
      </c>
      <c r="I201" s="17">
        <v>1.1</v>
      </c>
      <c r="J201" s="17">
        <v>1.05</v>
      </c>
      <c r="K201" s="17">
        <f>I201*J201</f>
        <v>1.16</v>
      </c>
      <c r="L201" s="15">
        <f>'[5]Раздел №1'!$I$42</f>
        <v>582.9</v>
      </c>
      <c r="M201" s="54">
        <f>K201*L201</f>
        <v>676</v>
      </c>
      <c r="N201" s="24"/>
    </row>
    <row r="202" spans="1:14" ht="16.5" customHeight="1" outlineLevel="1">
      <c r="A202" s="20"/>
      <c r="B202" s="21" t="s">
        <v>627</v>
      </c>
      <c r="C202" s="22"/>
      <c r="D202" s="13"/>
      <c r="E202" s="16"/>
      <c r="F202" s="32"/>
      <c r="G202" s="13" t="s">
        <v>593</v>
      </c>
      <c r="H202" s="13" t="s">
        <v>629</v>
      </c>
      <c r="I202" s="17">
        <v>1.4</v>
      </c>
      <c r="J202" s="17">
        <v>1.05</v>
      </c>
      <c r="K202" s="17">
        <f>I202*J202</f>
        <v>1.47</v>
      </c>
      <c r="L202" s="15">
        <f>'[5]Раздел №1'!$I$42</f>
        <v>582.9</v>
      </c>
      <c r="M202" s="54">
        <f>K202*L202</f>
        <v>857</v>
      </c>
      <c r="N202" s="24"/>
    </row>
    <row r="203" spans="1:14" ht="14.25" customHeight="1" outlineLevel="1">
      <c r="A203" s="20"/>
      <c r="B203" s="21" t="s">
        <v>628</v>
      </c>
      <c r="C203" s="22"/>
      <c r="D203" s="13"/>
      <c r="E203" s="16"/>
      <c r="F203" s="32"/>
      <c r="G203" s="13" t="s">
        <v>593</v>
      </c>
      <c r="H203" s="13" t="s">
        <v>629</v>
      </c>
      <c r="I203" s="17">
        <v>2.1</v>
      </c>
      <c r="J203" s="17">
        <v>1.05</v>
      </c>
      <c r="K203" s="17">
        <f>I203*J203</f>
        <v>2.21</v>
      </c>
      <c r="L203" s="15">
        <f>'[5]Раздел №1'!$I$42</f>
        <v>582.9</v>
      </c>
      <c r="M203" s="54">
        <f>K203*L203</f>
        <v>1288</v>
      </c>
      <c r="N203" s="24"/>
    </row>
    <row r="204" spans="1:14" ht="15.75" customHeight="1" outlineLevel="1">
      <c r="A204" s="20" t="s">
        <v>684</v>
      </c>
      <c r="B204" s="21" t="s">
        <v>612</v>
      </c>
      <c r="C204" s="22"/>
      <c r="D204" s="13"/>
      <c r="E204" s="16"/>
      <c r="F204" s="17"/>
      <c r="G204" s="13"/>
      <c r="H204" s="13"/>
      <c r="I204" s="17"/>
      <c r="J204" s="15"/>
      <c r="K204" s="17"/>
      <c r="L204" s="15">
        <f>'[5]Раздел №1'!$I$42</f>
        <v>582.9</v>
      </c>
      <c r="M204" s="24"/>
      <c r="N204" s="24"/>
    </row>
    <row r="205" spans="1:14" ht="15" customHeight="1" outlineLevel="1">
      <c r="A205" s="20"/>
      <c r="B205" s="21" t="s">
        <v>617</v>
      </c>
      <c r="C205" s="22"/>
      <c r="D205" s="13"/>
      <c r="E205" s="16"/>
      <c r="F205" s="17"/>
      <c r="G205" s="13" t="s">
        <v>548</v>
      </c>
      <c r="H205" s="13" t="s">
        <v>618</v>
      </c>
      <c r="I205" s="17">
        <f>308/100</f>
        <v>3.08</v>
      </c>
      <c r="J205" s="17">
        <v>1</v>
      </c>
      <c r="K205" s="17">
        <f>I205*J205</f>
        <v>3.08</v>
      </c>
      <c r="L205" s="15">
        <f>'[5]Раздел №1'!$I$42</f>
        <v>582.9</v>
      </c>
      <c r="M205" s="54">
        <f>K205*L205</f>
        <v>1795</v>
      </c>
      <c r="N205" s="54">
        <f>SUM(N206:N208)</f>
        <v>695</v>
      </c>
    </row>
    <row r="206" spans="1:15" ht="12.75" customHeight="1" hidden="1" outlineLevel="2">
      <c r="A206" s="20"/>
      <c r="B206" s="21"/>
      <c r="C206" s="65" t="s">
        <v>615</v>
      </c>
      <c r="D206" s="13" t="s">
        <v>41</v>
      </c>
      <c r="E206" s="16">
        <v>1</v>
      </c>
      <c r="F206" s="17">
        <f>188.2*1.096*1.25*1.18*1.074*1.118*1.091*1.078*1.077*1.08</f>
        <v>499.75</v>
      </c>
      <c r="G206" s="20"/>
      <c r="H206" s="13"/>
      <c r="I206" s="17"/>
      <c r="J206" s="13"/>
      <c r="K206" s="13"/>
      <c r="L206" s="15">
        <f>'[5]Раздел №1'!$I$42</f>
        <v>582.9</v>
      </c>
      <c r="M206" s="20"/>
      <c r="N206" s="24">
        <f>E206*F206</f>
        <v>499.8</v>
      </c>
      <c r="O206" s="7" t="s">
        <v>632</v>
      </c>
    </row>
    <row r="207" spans="1:15" ht="12.75" customHeight="1" hidden="1" outlineLevel="2">
      <c r="A207" s="20"/>
      <c r="B207" s="21"/>
      <c r="C207" s="22" t="s">
        <v>31</v>
      </c>
      <c r="D207" s="13" t="s">
        <v>33</v>
      </c>
      <c r="E207" s="16">
        <v>0.62</v>
      </c>
      <c r="F207" s="17">
        <f>77835.68/1120*1.18*1.096*1.25*1.074*1.118*1.091*1.078*1.077*1.08</f>
        <v>184.54</v>
      </c>
      <c r="G207" s="20"/>
      <c r="H207" s="13" t="s">
        <v>622</v>
      </c>
      <c r="I207" s="17"/>
      <c r="J207" s="13"/>
      <c r="K207" s="13"/>
      <c r="L207" s="15">
        <f>'[5]Раздел №1'!$I$42</f>
        <v>582.9</v>
      </c>
      <c r="M207" s="20"/>
      <c r="N207" s="24">
        <f>E207*F207</f>
        <v>114.4</v>
      </c>
      <c r="O207" s="7" t="s">
        <v>634</v>
      </c>
    </row>
    <row r="208" spans="1:15" ht="12.75" customHeight="1" hidden="1" outlineLevel="2">
      <c r="A208" s="20"/>
      <c r="B208" s="21"/>
      <c r="C208" s="65" t="s">
        <v>616</v>
      </c>
      <c r="D208" s="13" t="s">
        <v>41</v>
      </c>
      <c r="E208" s="16">
        <v>2</v>
      </c>
      <c r="F208" s="17">
        <f>15247.95/1000*1.096*1.25*1.18*1.074*1.118*1.091*1.078*1.077*1.08</f>
        <v>40.49</v>
      </c>
      <c r="G208" s="20"/>
      <c r="H208" s="13"/>
      <c r="I208" s="17"/>
      <c r="J208" s="13"/>
      <c r="K208" s="13"/>
      <c r="L208" s="15">
        <f>'[5]Раздел №1'!$I$42</f>
        <v>582.9</v>
      </c>
      <c r="M208" s="20"/>
      <c r="N208" s="24">
        <f>E208*F208</f>
        <v>81</v>
      </c>
      <c r="O208" s="7" t="s">
        <v>635</v>
      </c>
    </row>
    <row r="209" spans="1:14" ht="18" customHeight="1" outlineLevel="1" collapsed="1">
      <c r="A209" s="20"/>
      <c r="B209" s="21" t="s">
        <v>624</v>
      </c>
      <c r="C209" s="22"/>
      <c r="D209" s="13"/>
      <c r="E209" s="16"/>
      <c r="F209" s="17"/>
      <c r="G209" s="13" t="s">
        <v>548</v>
      </c>
      <c r="H209" s="13" t="s">
        <v>611</v>
      </c>
      <c r="I209" s="17">
        <f>422/100</f>
        <v>4.22</v>
      </c>
      <c r="J209" s="17">
        <v>1</v>
      </c>
      <c r="K209" s="17">
        <f>I209*J209</f>
        <v>4.22</v>
      </c>
      <c r="L209" s="15">
        <f>'[5]Раздел №1'!$I$42</f>
        <v>582.9</v>
      </c>
      <c r="M209" s="54">
        <f>K209*L209</f>
        <v>2460</v>
      </c>
      <c r="N209" s="54">
        <f>SUM(N210:N212)</f>
        <v>1004</v>
      </c>
    </row>
    <row r="210" spans="1:15" ht="12.75" customHeight="1" hidden="1" outlineLevel="2">
      <c r="A210" s="20"/>
      <c r="B210" s="21"/>
      <c r="C210" s="65" t="s">
        <v>615</v>
      </c>
      <c r="D210" s="13" t="s">
        <v>41</v>
      </c>
      <c r="E210" s="16">
        <v>1</v>
      </c>
      <c r="F210" s="17">
        <f>304.37*1.096*1.25*1.18*1.074*1.118*1.091*1.078*1.077*1.08</f>
        <v>808.23</v>
      </c>
      <c r="G210" s="20"/>
      <c r="H210" s="13"/>
      <c r="I210" s="17"/>
      <c r="J210" s="13"/>
      <c r="K210" s="13"/>
      <c r="L210" s="15">
        <f>'[5]Раздел №1'!$I$42</f>
        <v>582.9</v>
      </c>
      <c r="M210" s="20"/>
      <c r="N210" s="24">
        <f>E210*F210</f>
        <v>808.2</v>
      </c>
      <c r="O210" s="7" t="s">
        <v>633</v>
      </c>
    </row>
    <row r="211" spans="1:15" ht="12.75" customHeight="1" hidden="1" outlineLevel="2">
      <c r="A211" s="20"/>
      <c r="B211" s="21"/>
      <c r="C211" s="22" t="s">
        <v>31</v>
      </c>
      <c r="D211" s="13" t="s">
        <v>33</v>
      </c>
      <c r="E211" s="16">
        <v>0.62</v>
      </c>
      <c r="F211" s="17">
        <f>77835.68/1120*1.18*1.096*1.25*1.074*1.118*1.091*1.078*1.077*1.08</f>
        <v>184.54</v>
      </c>
      <c r="G211" s="20"/>
      <c r="H211" s="13"/>
      <c r="I211" s="17"/>
      <c r="J211" s="13"/>
      <c r="K211" s="13"/>
      <c r="L211" s="15">
        <f>'[5]Раздел №1'!$I$42</f>
        <v>582.9</v>
      </c>
      <c r="M211" s="20"/>
      <c r="N211" s="24">
        <f>E211*F211</f>
        <v>114.4</v>
      </c>
      <c r="O211" s="7" t="s">
        <v>634</v>
      </c>
    </row>
    <row r="212" spans="1:15" ht="12.75" customHeight="1" hidden="1" outlineLevel="2">
      <c r="A212" s="20"/>
      <c r="B212" s="21"/>
      <c r="C212" s="22" t="s">
        <v>616</v>
      </c>
      <c r="D212" s="13" t="s">
        <v>41</v>
      </c>
      <c r="E212" s="16">
        <v>2</v>
      </c>
      <c r="F212" s="17">
        <f>15247.95/1000*1.096*1.25*1.18*1.074*1.118*1.091*1.078*1.077*1.08</f>
        <v>40.49</v>
      </c>
      <c r="G212" s="20"/>
      <c r="H212" s="13"/>
      <c r="I212" s="17"/>
      <c r="J212" s="13"/>
      <c r="K212" s="13"/>
      <c r="L212" s="15">
        <f>'[5]Раздел №1'!$I$42</f>
        <v>582.9</v>
      </c>
      <c r="M212" s="20"/>
      <c r="N212" s="24">
        <f>E212*F212</f>
        <v>81</v>
      </c>
      <c r="O212" s="7" t="s">
        <v>635</v>
      </c>
    </row>
    <row r="213" spans="1:17" ht="12.75" customHeight="1" hidden="1" outlineLevel="2">
      <c r="A213" s="20"/>
      <c r="B213" s="21"/>
      <c r="C213" s="22"/>
      <c r="D213" s="13"/>
      <c r="E213" s="16"/>
      <c r="F213" s="17"/>
      <c r="G213" s="20"/>
      <c r="H213" s="13"/>
      <c r="I213" s="17"/>
      <c r="J213" s="13"/>
      <c r="K213" s="13"/>
      <c r="L213" s="15">
        <f>'[5]Раздел №1'!$I$42</f>
        <v>582.9</v>
      </c>
      <c r="M213" s="20"/>
      <c r="N213" s="24"/>
      <c r="Q213" s="58"/>
    </row>
    <row r="214" spans="1:14" ht="15.75" customHeight="1" outlineLevel="1" collapsed="1">
      <c r="A214" s="20"/>
      <c r="B214" s="21" t="s">
        <v>613</v>
      </c>
      <c r="C214" s="22"/>
      <c r="D214" s="13"/>
      <c r="E214" s="16"/>
      <c r="F214" s="17"/>
      <c r="G214" s="13" t="s">
        <v>548</v>
      </c>
      <c r="H214" s="13" t="s">
        <v>614</v>
      </c>
      <c r="I214" s="17">
        <f>594/100</f>
        <v>5.94</v>
      </c>
      <c r="J214" s="17">
        <v>1</v>
      </c>
      <c r="K214" s="17">
        <f>I214*J214</f>
        <v>5.94</v>
      </c>
      <c r="L214" s="15">
        <f>'[5]Раздел №1'!$I$42</f>
        <v>582.9</v>
      </c>
      <c r="M214" s="54">
        <f>K214*L214</f>
        <v>3462</v>
      </c>
      <c r="N214" s="54">
        <f>SUM(N215:N217)</f>
        <v>1717</v>
      </c>
    </row>
    <row r="215" spans="1:15" ht="12.75" customHeight="1" hidden="1" outlineLevel="2">
      <c r="A215" s="20"/>
      <c r="B215" s="21"/>
      <c r="C215" s="65" t="s">
        <v>615</v>
      </c>
      <c r="D215" s="13" t="s">
        <v>41</v>
      </c>
      <c r="E215" s="16">
        <v>1</v>
      </c>
      <c r="F215" s="17">
        <f>514.46*1.096*1.25*1.18*1.074*1.118*1.091*1.078*1.077*1.08</f>
        <v>1366.1</v>
      </c>
      <c r="G215" s="13"/>
      <c r="H215" s="13"/>
      <c r="I215" s="17"/>
      <c r="J215" s="17"/>
      <c r="K215" s="17"/>
      <c r="L215" s="15">
        <f>'[5]Раздел №1'!$I$42</f>
        <v>582.9</v>
      </c>
      <c r="M215" s="54"/>
      <c r="N215" s="24">
        <f>E215*F215</f>
        <v>1366.1</v>
      </c>
      <c r="O215" s="7" t="s">
        <v>636</v>
      </c>
    </row>
    <row r="216" spans="1:15" ht="12.75" customHeight="1" hidden="1" outlineLevel="2">
      <c r="A216" s="20"/>
      <c r="B216" s="21"/>
      <c r="C216" s="22" t="s">
        <v>31</v>
      </c>
      <c r="D216" s="13" t="s">
        <v>33</v>
      </c>
      <c r="E216" s="16">
        <v>1.46</v>
      </c>
      <c r="F216" s="117">
        <f>77835.68/1120*1.18*1.096*1.25*1.074*1.118*1.091*1.078*1.077*1.08</f>
        <v>184.54</v>
      </c>
      <c r="G216" s="13"/>
      <c r="H216" s="13"/>
      <c r="I216" s="17"/>
      <c r="J216" s="17"/>
      <c r="K216" s="17"/>
      <c r="L216" s="15">
        <f>'[5]Раздел №1'!$I$42</f>
        <v>582.9</v>
      </c>
      <c r="M216" s="54"/>
      <c r="N216" s="24">
        <f>E216*F216</f>
        <v>269.4</v>
      </c>
      <c r="O216" s="7" t="s">
        <v>634</v>
      </c>
    </row>
    <row r="217" spans="1:15" ht="12.75" customHeight="1" hidden="1" outlineLevel="2">
      <c r="A217" s="20"/>
      <c r="B217" s="21"/>
      <c r="C217" s="22" t="s">
        <v>616</v>
      </c>
      <c r="D217" s="13" t="s">
        <v>41</v>
      </c>
      <c r="E217" s="16">
        <v>2</v>
      </c>
      <c r="F217" s="17">
        <f>15247.95/1000*1.096*1.25*1.18*1.074*1.118*1.091*1.078*1.077*1.08</f>
        <v>40.49</v>
      </c>
      <c r="G217" s="13"/>
      <c r="H217" s="13"/>
      <c r="I217" s="17"/>
      <c r="J217" s="17"/>
      <c r="K217" s="17"/>
      <c r="L217" s="15">
        <f>'[5]Раздел №1'!$I$42</f>
        <v>582.9</v>
      </c>
      <c r="M217" s="54"/>
      <c r="N217" s="24">
        <f>E217*F217</f>
        <v>81</v>
      </c>
      <c r="O217" s="7" t="s">
        <v>635</v>
      </c>
    </row>
    <row r="218" spans="1:14" ht="16.5" customHeight="1" outlineLevel="1" collapsed="1">
      <c r="A218" s="20" t="s">
        <v>685</v>
      </c>
      <c r="B218" s="21" t="s">
        <v>687</v>
      </c>
      <c r="C218" s="22"/>
      <c r="D218" s="13"/>
      <c r="E218" s="16"/>
      <c r="F218" s="17"/>
      <c r="G218" s="13"/>
      <c r="H218" s="13"/>
      <c r="I218" s="17"/>
      <c r="J218" s="15"/>
      <c r="K218" s="17"/>
      <c r="L218" s="15">
        <f>'[5]Раздел №1'!$I$42</f>
        <v>582.9</v>
      </c>
      <c r="M218" s="24"/>
      <c r="N218" s="24"/>
    </row>
    <row r="219" spans="1:14" ht="17.25" customHeight="1" outlineLevel="1">
      <c r="A219" s="20"/>
      <c r="B219" s="21" t="s">
        <v>688</v>
      </c>
      <c r="C219" s="22"/>
      <c r="D219" s="13"/>
      <c r="E219" s="16"/>
      <c r="F219" s="17"/>
      <c r="G219" s="13" t="s">
        <v>548</v>
      </c>
      <c r="H219" s="13" t="s">
        <v>618</v>
      </c>
      <c r="I219" s="17">
        <f>'[1]задвижка до100'!$E$21</f>
        <v>3.02</v>
      </c>
      <c r="J219" s="17">
        <v>1</v>
      </c>
      <c r="K219" s="16">
        <f>I219*J219</f>
        <v>3.02</v>
      </c>
      <c r="L219" s="15">
        <f>'[5]Раздел №1'!$I$42</f>
        <v>582.9</v>
      </c>
      <c r="M219" s="54">
        <f>K219*L219</f>
        <v>1760</v>
      </c>
      <c r="N219" s="54">
        <f>SUM(N220:N222)</f>
        <v>128</v>
      </c>
    </row>
    <row r="220" spans="1:15" ht="12.75" customHeight="1" hidden="1" outlineLevel="2">
      <c r="A220" s="20"/>
      <c r="B220" s="69"/>
      <c r="C220" s="65" t="s">
        <v>690</v>
      </c>
      <c r="D220" s="13" t="s">
        <v>33</v>
      </c>
      <c r="E220" s="16">
        <v>0.252</v>
      </c>
      <c r="F220" s="17">
        <f>145.69*1.096*1.25*1.18*1.074*1.118*1.091*1.078*1.077*1.08</f>
        <v>386.87</v>
      </c>
      <c r="G220" s="20"/>
      <c r="H220" s="13"/>
      <c r="I220" s="17"/>
      <c r="J220" s="13"/>
      <c r="K220" s="13"/>
      <c r="L220" s="15">
        <f>'[5]Раздел №1'!$I$42</f>
        <v>582.9</v>
      </c>
      <c r="M220" s="20"/>
      <c r="N220" s="24">
        <f>E220*F220</f>
        <v>97.5</v>
      </c>
      <c r="O220" s="7" t="s">
        <v>465</v>
      </c>
    </row>
    <row r="221" spans="1:15" ht="12.75" customHeight="1" hidden="1" outlineLevel="2">
      <c r="A221" s="20"/>
      <c r="B221" s="69"/>
      <c r="C221" s="65" t="s">
        <v>38</v>
      </c>
      <c r="D221" s="13" t="s">
        <v>33</v>
      </c>
      <c r="E221" s="16">
        <v>0.035</v>
      </c>
      <c r="F221" s="17">
        <f>142.03*1.18*1.096*1.25*1.074*1.118*1.091*1.078*1.077*1.08</f>
        <v>377.15</v>
      </c>
      <c r="G221" s="20"/>
      <c r="H221" s="13" t="s">
        <v>622</v>
      </c>
      <c r="I221" s="17"/>
      <c r="J221" s="13"/>
      <c r="K221" s="13"/>
      <c r="L221" s="15">
        <f>'[5]Раздел №1'!$I$42</f>
        <v>582.9</v>
      </c>
      <c r="M221" s="20"/>
      <c r="N221" s="24">
        <f>E221*F221</f>
        <v>13.2</v>
      </c>
      <c r="O221" s="7" t="s">
        <v>433</v>
      </c>
    </row>
    <row r="222" spans="1:15" ht="12.75" customHeight="1" hidden="1" outlineLevel="2">
      <c r="A222" s="20"/>
      <c r="B222" s="69"/>
      <c r="C222" s="65" t="s">
        <v>691</v>
      </c>
      <c r="D222" s="13" t="s">
        <v>33</v>
      </c>
      <c r="E222" s="16">
        <v>0.078</v>
      </c>
      <c r="F222" s="17">
        <f>1133.02/14*1.096*1.25*1.18*1.074*1.118*1.091*1.078*1.077*1.08</f>
        <v>214.9</v>
      </c>
      <c r="G222" s="20"/>
      <c r="H222" s="13"/>
      <c r="I222" s="17"/>
      <c r="J222" s="13"/>
      <c r="K222" s="13"/>
      <c r="L222" s="15">
        <f>'[5]Раздел №1'!$I$42</f>
        <v>582.9</v>
      </c>
      <c r="M222" s="20"/>
      <c r="N222" s="24">
        <f>E222*F222</f>
        <v>16.8</v>
      </c>
      <c r="O222" s="7" t="s">
        <v>635</v>
      </c>
    </row>
    <row r="223" spans="1:14" ht="15.75" customHeight="1" outlineLevel="1" collapsed="1">
      <c r="A223" s="20"/>
      <c r="B223" s="21" t="s">
        <v>613</v>
      </c>
      <c r="C223" s="65"/>
      <c r="D223" s="13"/>
      <c r="E223" s="16"/>
      <c r="F223" s="17"/>
      <c r="G223" s="13" t="s">
        <v>548</v>
      </c>
      <c r="H223" s="13" t="s">
        <v>611</v>
      </c>
      <c r="I223" s="17">
        <f>'[1]задвижка до150'!$E$21</f>
        <v>3.78</v>
      </c>
      <c r="J223" s="17">
        <v>1</v>
      </c>
      <c r="K223" s="17">
        <f>I223*J223</f>
        <v>3.78</v>
      </c>
      <c r="L223" s="15">
        <f>'[5]Раздел №1'!$I$42</f>
        <v>582.9</v>
      </c>
      <c r="M223" s="54">
        <f>K223*L223</f>
        <v>2203</v>
      </c>
      <c r="N223" s="54">
        <f>SUM(N224:N226)</f>
        <v>194</v>
      </c>
    </row>
    <row r="224" spans="1:15" ht="12.75" customHeight="1" hidden="1" outlineLevel="2">
      <c r="A224" s="20"/>
      <c r="B224" s="69"/>
      <c r="C224" s="65" t="s">
        <v>690</v>
      </c>
      <c r="D224" s="13" t="s">
        <v>33</v>
      </c>
      <c r="E224" s="16">
        <v>0.394</v>
      </c>
      <c r="F224" s="17">
        <f>145.69*1.096*1.25*1.18*1.074*1.118*1.091*1.078*1.077*1.08</f>
        <v>386.87</v>
      </c>
      <c r="G224" s="20"/>
      <c r="H224" s="13"/>
      <c r="I224" s="17"/>
      <c r="J224" s="13"/>
      <c r="K224" s="13"/>
      <c r="L224" s="15">
        <f>'[5]Раздел №1'!$I$42</f>
        <v>582.9</v>
      </c>
      <c r="M224" s="20"/>
      <c r="N224" s="24">
        <f>E224*F224</f>
        <v>152.4</v>
      </c>
      <c r="O224" s="7" t="s">
        <v>465</v>
      </c>
    </row>
    <row r="225" spans="1:15" ht="12.75" customHeight="1" hidden="1" outlineLevel="2">
      <c r="A225" s="20"/>
      <c r="B225" s="69"/>
      <c r="C225" s="65" t="s">
        <v>38</v>
      </c>
      <c r="D225" s="13" t="s">
        <v>33</v>
      </c>
      <c r="E225" s="16">
        <v>0.048</v>
      </c>
      <c r="F225" s="17">
        <f>142.03*1.18*1.096*1.25*1.074*1.118*1.091*1.078*1.077*1.08</f>
        <v>377.15</v>
      </c>
      <c r="G225" s="20"/>
      <c r="H225" s="13"/>
      <c r="I225" s="17"/>
      <c r="J225" s="13"/>
      <c r="K225" s="13"/>
      <c r="L225" s="15">
        <f>'[5]Раздел №1'!$I$42</f>
        <v>582.9</v>
      </c>
      <c r="M225" s="20"/>
      <c r="N225" s="24">
        <f>E225*F225</f>
        <v>18.1</v>
      </c>
      <c r="O225" s="7" t="s">
        <v>433</v>
      </c>
    </row>
    <row r="226" spans="1:15" ht="12.75" customHeight="1" hidden="1" outlineLevel="2">
      <c r="A226" s="20"/>
      <c r="B226" s="69"/>
      <c r="C226" s="65" t="s">
        <v>691</v>
      </c>
      <c r="D226" s="13" t="s">
        <v>33</v>
      </c>
      <c r="E226" s="16">
        <v>0.107</v>
      </c>
      <c r="F226" s="17">
        <f>1133.02/14*1.096*1.25*1.18*1.074*1.118*1.091*1.078*1.077*1.08</f>
        <v>214.9</v>
      </c>
      <c r="G226" s="20"/>
      <c r="H226" s="13"/>
      <c r="I226" s="17"/>
      <c r="J226" s="13"/>
      <c r="K226" s="13"/>
      <c r="L226" s="15">
        <f>'[5]Раздел №1'!$I$42</f>
        <v>582.9</v>
      </c>
      <c r="M226" s="20"/>
      <c r="N226" s="24">
        <f>E226*F226</f>
        <v>23</v>
      </c>
      <c r="O226" s="7" t="s">
        <v>635</v>
      </c>
    </row>
    <row r="227" spans="1:14" ht="18" customHeight="1" outlineLevel="1" collapsed="1">
      <c r="A227" s="20"/>
      <c r="B227" s="21" t="s">
        <v>689</v>
      </c>
      <c r="C227" s="65"/>
      <c r="D227" s="13"/>
      <c r="E227" s="16"/>
      <c r="F227" s="17"/>
      <c r="G227" s="13" t="s">
        <v>548</v>
      </c>
      <c r="H227" s="13" t="s">
        <v>614</v>
      </c>
      <c r="I227" s="17">
        <f>'[1]задвижка до200'!$E$21</f>
        <v>5.04</v>
      </c>
      <c r="J227" s="17">
        <v>1</v>
      </c>
      <c r="K227" s="17">
        <f>I227*J227</f>
        <v>5.04</v>
      </c>
      <c r="L227" s="15">
        <f>'[5]Раздел №1'!$I$42</f>
        <v>582.9</v>
      </c>
      <c r="M227" s="54">
        <f>K227*L227</f>
        <v>2938</v>
      </c>
      <c r="N227" s="54">
        <f>SUM(N228:N230)</f>
        <v>306</v>
      </c>
    </row>
    <row r="228" spans="1:15" ht="12.75" customHeight="1" hidden="1" outlineLevel="2">
      <c r="A228" s="20"/>
      <c r="B228" s="69"/>
      <c r="C228" s="65" t="s">
        <v>690</v>
      </c>
      <c r="D228" s="13" t="s">
        <v>33</v>
      </c>
      <c r="E228" s="16">
        <v>0.65</v>
      </c>
      <c r="F228" s="17">
        <f>145.69*1.096*1.25*1.18*1.074*1.118*1.091*1.078*1.077*1.08</f>
        <v>386.87</v>
      </c>
      <c r="G228" s="13"/>
      <c r="H228" s="13"/>
      <c r="I228" s="17"/>
      <c r="J228" s="17"/>
      <c r="K228" s="17"/>
      <c r="L228" s="15">
        <f>'[5]Раздел №1'!$I$42</f>
        <v>582.9</v>
      </c>
      <c r="M228" s="54"/>
      <c r="N228" s="24">
        <f>E228*F228</f>
        <v>251.5</v>
      </c>
      <c r="O228" s="7" t="s">
        <v>465</v>
      </c>
    </row>
    <row r="229" spans="1:15" ht="12.75" customHeight="1" hidden="1" outlineLevel="2">
      <c r="A229" s="20"/>
      <c r="B229" s="69"/>
      <c r="C229" s="22" t="s">
        <v>38</v>
      </c>
      <c r="D229" s="13" t="s">
        <v>33</v>
      </c>
      <c r="E229" s="16">
        <v>0.064</v>
      </c>
      <c r="F229" s="17">
        <f>142.03*1.18*1.096*1.25*1.074*1.118*1.091*1.078*1.077*1.08</f>
        <v>377.15</v>
      </c>
      <c r="G229" s="13"/>
      <c r="H229" s="13"/>
      <c r="I229" s="17"/>
      <c r="J229" s="17"/>
      <c r="K229" s="17"/>
      <c r="L229" s="15">
        <f>'[5]Раздел №1'!$I$42</f>
        <v>582.9</v>
      </c>
      <c r="M229" s="54"/>
      <c r="N229" s="24">
        <f>E229*F229</f>
        <v>24.1</v>
      </c>
      <c r="O229" s="7" t="s">
        <v>433</v>
      </c>
    </row>
    <row r="230" spans="1:15" ht="12.75" customHeight="1" hidden="1" outlineLevel="2">
      <c r="A230" s="20"/>
      <c r="B230" s="69"/>
      <c r="C230" s="65" t="s">
        <v>691</v>
      </c>
      <c r="D230" s="13" t="s">
        <v>33</v>
      </c>
      <c r="E230" s="16">
        <v>0.142</v>
      </c>
      <c r="F230" s="17">
        <f>1133.02/14*1.096*1.25*1.18*1.074*1.118*1.091*1.078*1.077*1.08</f>
        <v>214.9</v>
      </c>
      <c r="G230" s="13"/>
      <c r="H230" s="13"/>
      <c r="I230" s="17"/>
      <c r="J230" s="17"/>
      <c r="K230" s="17"/>
      <c r="L230" s="15">
        <f>'[5]Раздел №1'!$I$42</f>
        <v>582.9</v>
      </c>
      <c r="M230" s="54"/>
      <c r="N230" s="24">
        <f>E230*F230</f>
        <v>30.5</v>
      </c>
      <c r="O230" s="7" t="s">
        <v>635</v>
      </c>
    </row>
    <row r="231" spans="1:14" ht="17.25" customHeight="1" outlineLevel="1" collapsed="1">
      <c r="A231" s="20" t="s">
        <v>700</v>
      </c>
      <c r="B231" s="21" t="s">
        <v>692</v>
      </c>
      <c r="C231" s="22"/>
      <c r="D231" s="13"/>
      <c r="E231" s="16"/>
      <c r="F231" s="17"/>
      <c r="G231" s="13"/>
      <c r="H231" s="13"/>
      <c r="I231" s="17"/>
      <c r="J231" s="15"/>
      <c r="K231" s="17"/>
      <c r="L231" s="15">
        <f>'[5]Раздел №1'!$I$42</f>
        <v>582.9</v>
      </c>
      <c r="M231" s="24"/>
      <c r="N231" s="24"/>
    </row>
    <row r="232" spans="1:14" ht="16.5" customHeight="1" outlineLevel="1">
      <c r="A232" s="20"/>
      <c r="B232" s="21" t="s">
        <v>693</v>
      </c>
      <c r="C232" s="22"/>
      <c r="D232" s="13"/>
      <c r="E232" s="16"/>
      <c r="F232" s="17"/>
      <c r="G232" s="13" t="s">
        <v>548</v>
      </c>
      <c r="H232" s="13" t="s">
        <v>618</v>
      </c>
      <c r="I232" s="17">
        <v>1.03</v>
      </c>
      <c r="J232" s="17">
        <v>1</v>
      </c>
      <c r="K232" s="17">
        <f>I232*J232</f>
        <v>1.03</v>
      </c>
      <c r="L232" s="15">
        <f>'[5]Раздел №1'!$I$42</f>
        <v>582.9</v>
      </c>
      <c r="M232" s="54">
        <f>K232*L232</f>
        <v>600</v>
      </c>
      <c r="N232" s="24">
        <f>SUM(N233:N235)</f>
        <v>7.6</v>
      </c>
    </row>
    <row r="233" spans="1:15" ht="12.75" customHeight="1" hidden="1" outlineLevel="2">
      <c r="A233" s="20"/>
      <c r="B233" s="69"/>
      <c r="C233" s="65" t="s">
        <v>56</v>
      </c>
      <c r="D233" s="13" t="s">
        <v>33</v>
      </c>
      <c r="E233" s="16">
        <v>0.025</v>
      </c>
      <c r="F233" s="17">
        <f>49207.49/1110*1.18*1.096*1.25*1.074*1.118*1.091*1.078*1.077*1.08</f>
        <v>117.72</v>
      </c>
      <c r="G233" s="20"/>
      <c r="H233" s="13"/>
      <c r="I233" s="17"/>
      <c r="J233" s="13"/>
      <c r="K233" s="13"/>
      <c r="L233" s="15">
        <f>'[5]Раздел №1'!$I$42</f>
        <v>582.9</v>
      </c>
      <c r="M233" s="20"/>
      <c r="N233" s="24">
        <f>E233*F233</f>
        <v>2.9</v>
      </c>
      <c r="O233" s="7" t="s">
        <v>448</v>
      </c>
    </row>
    <row r="234" spans="1:15" ht="12.75" customHeight="1" hidden="1" outlineLevel="2">
      <c r="A234" s="20"/>
      <c r="B234" s="69"/>
      <c r="C234" s="22" t="s">
        <v>57</v>
      </c>
      <c r="D234" s="13" t="s">
        <v>33</v>
      </c>
      <c r="E234" s="64">
        <v>0.0122</v>
      </c>
      <c r="F234" s="17">
        <f>82.28*1.096*1.25*1.18*1.074*1.118*1.091*1.078*1.077*1.08</f>
        <v>218.49</v>
      </c>
      <c r="G234" s="20"/>
      <c r="H234" s="13" t="s">
        <v>622</v>
      </c>
      <c r="I234" s="17"/>
      <c r="J234" s="13"/>
      <c r="K234" s="13"/>
      <c r="L234" s="15">
        <f>'[5]Раздел №1'!$I$42</f>
        <v>582.9</v>
      </c>
      <c r="M234" s="20"/>
      <c r="N234" s="24">
        <f>E234*F234</f>
        <v>2.7</v>
      </c>
      <c r="O234" s="7" t="s">
        <v>444</v>
      </c>
    </row>
    <row r="235" spans="1:15" ht="12.75" customHeight="1" hidden="1" outlineLevel="2">
      <c r="A235" s="20"/>
      <c r="B235" s="69"/>
      <c r="C235" s="65" t="s">
        <v>58</v>
      </c>
      <c r="D235" s="13" t="s">
        <v>33</v>
      </c>
      <c r="E235" s="16">
        <v>0.012</v>
      </c>
      <c r="F235" s="17">
        <f>74.29/1.2*1.096*1.25*1.18*1.074*1.118*1.091*1.078*1.077*1.08</f>
        <v>164.39</v>
      </c>
      <c r="G235" s="20"/>
      <c r="H235" s="13"/>
      <c r="I235" s="17"/>
      <c r="J235" s="13"/>
      <c r="K235" s="13"/>
      <c r="L235" s="15">
        <f>'[5]Раздел №1'!$I$42</f>
        <v>582.9</v>
      </c>
      <c r="M235" s="20"/>
      <c r="N235" s="24">
        <f>E235*F235</f>
        <v>2</v>
      </c>
      <c r="O235" s="7" t="s">
        <v>442</v>
      </c>
    </row>
    <row r="236" spans="1:14" ht="18" customHeight="1" outlineLevel="1" collapsed="1">
      <c r="A236" s="20"/>
      <c r="B236" s="21" t="s">
        <v>694</v>
      </c>
      <c r="C236" s="65"/>
      <c r="D236" s="13"/>
      <c r="E236" s="16"/>
      <c r="F236" s="17"/>
      <c r="G236" s="13" t="s">
        <v>548</v>
      </c>
      <c r="H236" s="13" t="s">
        <v>611</v>
      </c>
      <c r="I236" s="17">
        <v>1.33</v>
      </c>
      <c r="J236" s="17">
        <v>1</v>
      </c>
      <c r="K236" s="17">
        <f>I236*J236</f>
        <v>1.33</v>
      </c>
      <c r="L236" s="15">
        <f>'[5]Раздел №1'!$I$42</f>
        <v>582.9</v>
      </c>
      <c r="M236" s="54">
        <f>K236*L236</f>
        <v>775</v>
      </c>
      <c r="N236" s="24">
        <f>SUM(N237:N239)</f>
        <v>11.4</v>
      </c>
    </row>
    <row r="237" spans="1:15" ht="12.75" customHeight="1" hidden="1" outlineLevel="2">
      <c r="A237" s="20"/>
      <c r="B237" s="69"/>
      <c r="C237" s="65" t="s">
        <v>56</v>
      </c>
      <c r="D237" s="13" t="s">
        <v>33</v>
      </c>
      <c r="E237" s="16">
        <v>0.037</v>
      </c>
      <c r="F237" s="17">
        <f>49207.49/1110*1.18*1.096*1.25*1.074*1.118*1.091*1.078*1.077*1.08</f>
        <v>117.72</v>
      </c>
      <c r="G237" s="20"/>
      <c r="H237" s="13"/>
      <c r="I237" s="17"/>
      <c r="J237" s="13"/>
      <c r="K237" s="13"/>
      <c r="L237" s="15">
        <f>'[5]Раздел №1'!$I$42</f>
        <v>582.9</v>
      </c>
      <c r="M237" s="20"/>
      <c r="N237" s="24">
        <f>E237*F237</f>
        <v>4.4</v>
      </c>
      <c r="O237" s="7" t="s">
        <v>448</v>
      </c>
    </row>
    <row r="238" spans="1:15" ht="12.75" customHeight="1" hidden="1" outlineLevel="2">
      <c r="A238" s="20"/>
      <c r="B238" s="69"/>
      <c r="C238" s="22" t="s">
        <v>57</v>
      </c>
      <c r="D238" s="13" t="s">
        <v>33</v>
      </c>
      <c r="E238" s="59">
        <v>0.0184</v>
      </c>
      <c r="F238" s="17">
        <f>82.28*1.096*1.25*1.18*1.074*1.118*1.091*1.078*1.077*1.08</f>
        <v>218.49</v>
      </c>
      <c r="G238" s="20"/>
      <c r="H238" s="13"/>
      <c r="I238" s="17"/>
      <c r="J238" s="13"/>
      <c r="K238" s="13"/>
      <c r="L238" s="15">
        <f>'[5]Раздел №1'!$I$42</f>
        <v>582.9</v>
      </c>
      <c r="M238" s="20"/>
      <c r="N238" s="24">
        <f>E238*F238</f>
        <v>4</v>
      </c>
      <c r="O238" s="7" t="s">
        <v>444</v>
      </c>
    </row>
    <row r="239" spans="1:15" ht="12.75" customHeight="1" hidden="1" outlineLevel="2">
      <c r="A239" s="20"/>
      <c r="B239" s="69"/>
      <c r="C239" s="65" t="s">
        <v>58</v>
      </c>
      <c r="D239" s="13" t="s">
        <v>33</v>
      </c>
      <c r="E239" s="16">
        <v>0.018</v>
      </c>
      <c r="F239" s="17">
        <f>74.29/1.2*1.096*1.25*1.18*1.074*1.118*1.091*1.078*1.077*1.08</f>
        <v>164.39</v>
      </c>
      <c r="G239" s="20"/>
      <c r="H239" s="13"/>
      <c r="I239" s="17"/>
      <c r="J239" s="13"/>
      <c r="K239" s="13"/>
      <c r="L239" s="15">
        <f>'[5]Раздел №1'!$I$42</f>
        <v>582.9</v>
      </c>
      <c r="M239" s="20"/>
      <c r="N239" s="24">
        <f>E239*F239</f>
        <v>3</v>
      </c>
      <c r="O239" s="7" t="s">
        <v>442</v>
      </c>
    </row>
    <row r="240" spans="1:14" ht="12.75" customHeight="1" outlineLevel="1" collapsed="1">
      <c r="A240" s="20" t="s">
        <v>753</v>
      </c>
      <c r="B240" s="69" t="s">
        <v>752</v>
      </c>
      <c r="C240" s="65"/>
      <c r="D240" s="13"/>
      <c r="E240" s="16"/>
      <c r="F240" s="17"/>
      <c r="G240" s="13" t="s">
        <v>548</v>
      </c>
      <c r="H240" s="13" t="s">
        <v>757</v>
      </c>
      <c r="I240" s="17">
        <v>2.16</v>
      </c>
      <c r="J240" s="17">
        <v>1</v>
      </c>
      <c r="K240" s="17">
        <f>I240*J240</f>
        <v>2.16</v>
      </c>
      <c r="L240" s="15">
        <f>'[5]Раздел №1'!$I$42</f>
        <v>582.9</v>
      </c>
      <c r="M240" s="54">
        <f>K240*L240</f>
        <v>1259</v>
      </c>
      <c r="N240" s="54">
        <f>SUM(N241:N243)</f>
        <v>1070</v>
      </c>
    </row>
    <row r="241" spans="1:14" ht="12.75" customHeight="1" hidden="1" outlineLevel="2">
      <c r="A241" s="20"/>
      <c r="B241" s="69"/>
      <c r="C241" s="65" t="s">
        <v>754</v>
      </c>
      <c r="D241" s="13" t="s">
        <v>33</v>
      </c>
      <c r="E241" s="16">
        <v>1.8</v>
      </c>
      <c r="F241" s="17">
        <f>145.69*1.096*1.25*1.18*1.074*1.118*1.091*1.078*1.077*1.08</f>
        <v>386.87</v>
      </c>
      <c r="G241" s="20"/>
      <c r="H241" s="13"/>
      <c r="I241" s="17"/>
      <c r="J241" s="13"/>
      <c r="K241" s="13"/>
      <c r="L241" s="15">
        <f>'[5]Раздел №1'!$I$42</f>
        <v>582.9</v>
      </c>
      <c r="M241" s="20"/>
      <c r="N241" s="24">
        <f>E241*F241</f>
        <v>696.4</v>
      </c>
    </row>
    <row r="242" spans="1:14" ht="12.75" customHeight="1" hidden="1" outlineLevel="2">
      <c r="A242" s="20"/>
      <c r="B242" s="69"/>
      <c r="C242" s="65" t="s">
        <v>755</v>
      </c>
      <c r="D242" s="13" t="s">
        <v>33</v>
      </c>
      <c r="E242" s="16">
        <v>1.24</v>
      </c>
      <c r="F242" s="17">
        <f>65.53*1.096*1.25*1.18*1.074*1.118*1.091*1.078*1.077*1.08</f>
        <v>174.01</v>
      </c>
      <c r="G242" s="20"/>
      <c r="H242" s="13"/>
      <c r="I242" s="17"/>
      <c r="J242" s="13"/>
      <c r="K242" s="13"/>
      <c r="L242" s="15">
        <f>'[5]Раздел №1'!$I$42</f>
        <v>582.9</v>
      </c>
      <c r="M242" s="20"/>
      <c r="N242" s="24">
        <f>E242*F242</f>
        <v>215.8</v>
      </c>
    </row>
    <row r="243" spans="1:14" ht="12.75" customHeight="1" hidden="1" outlineLevel="2">
      <c r="A243" s="20"/>
      <c r="B243" s="69"/>
      <c r="C243" s="65" t="s">
        <v>756</v>
      </c>
      <c r="D243" s="13" t="s">
        <v>33</v>
      </c>
      <c r="E243" s="16">
        <v>0.62</v>
      </c>
      <c r="F243" s="17">
        <f>95.57*1.096*1.25*1.18*1.074*1.118*1.091*1.078*1.077*1.08</f>
        <v>253.78</v>
      </c>
      <c r="G243" s="20"/>
      <c r="H243" s="13"/>
      <c r="I243" s="17"/>
      <c r="J243" s="13"/>
      <c r="K243" s="13"/>
      <c r="L243" s="15">
        <f>'[5]Раздел №1'!$I$42</f>
        <v>582.9</v>
      </c>
      <c r="M243" s="20"/>
      <c r="N243" s="24">
        <f>E243*F243</f>
        <v>157.3</v>
      </c>
    </row>
    <row r="244" spans="1:14" ht="12.75" customHeight="1" outlineLevel="1" collapsed="1">
      <c r="A244" s="61" t="s">
        <v>761</v>
      </c>
      <c r="B244" s="21" t="s">
        <v>637</v>
      </c>
      <c r="C244" s="22"/>
      <c r="D244" s="13"/>
      <c r="E244" s="16"/>
      <c r="F244" s="17"/>
      <c r="G244" s="13"/>
      <c r="H244" s="13"/>
      <c r="I244" s="17"/>
      <c r="J244" s="17"/>
      <c r="K244" s="17"/>
      <c r="L244" s="15">
        <f>'[5]Раздел №1'!$I$42</f>
        <v>582.9</v>
      </c>
      <c r="M244" s="54"/>
      <c r="N244" s="54"/>
    </row>
    <row r="245" spans="1:14" ht="20.25" customHeight="1" outlineLevel="1">
      <c r="A245" s="20"/>
      <c r="B245" s="21" t="s">
        <v>638</v>
      </c>
      <c r="C245" s="22"/>
      <c r="D245" s="13"/>
      <c r="E245" s="16"/>
      <c r="F245" s="17"/>
      <c r="G245" s="13" t="s">
        <v>639</v>
      </c>
      <c r="H245" s="13" t="s">
        <v>640</v>
      </c>
      <c r="I245" s="17">
        <f>76.52/10</f>
        <v>7.65</v>
      </c>
      <c r="J245" s="32">
        <v>1</v>
      </c>
      <c r="K245" s="17">
        <f>I245*J245</f>
        <v>7.65</v>
      </c>
      <c r="L245" s="15">
        <f>'[5]Раздел №1'!$I$42</f>
        <v>582.9</v>
      </c>
      <c r="M245" s="54">
        <f>K245*L245</f>
        <v>4459</v>
      </c>
      <c r="N245" s="54">
        <f>SUM(N246:N251)</f>
        <v>48</v>
      </c>
    </row>
    <row r="246" spans="1:15" ht="19.5" customHeight="1" hidden="1" outlineLevel="2">
      <c r="A246" s="20"/>
      <c r="B246" s="21"/>
      <c r="C246" s="22" t="s">
        <v>641</v>
      </c>
      <c r="D246" s="13" t="s">
        <v>33</v>
      </c>
      <c r="E246" s="17">
        <f>0.002/10*1000</f>
        <v>0.2</v>
      </c>
      <c r="F246" s="17">
        <f>9712.71/1010*1.096*1.25*1.18*1.074*1.118*1.091*1.078*1.077*1.08</f>
        <v>25.54</v>
      </c>
      <c r="G246" s="20"/>
      <c r="H246" s="13"/>
      <c r="I246" s="17"/>
      <c r="J246" s="13"/>
      <c r="K246" s="13"/>
      <c r="L246" s="15">
        <f>'[5]Раздел №1'!$I$42</f>
        <v>582.9</v>
      </c>
      <c r="M246" s="20"/>
      <c r="N246" s="24">
        <f aca="true" t="shared" si="10" ref="N246:N251">E246*F246</f>
        <v>5.1</v>
      </c>
      <c r="O246" s="7" t="s">
        <v>446</v>
      </c>
    </row>
    <row r="247" spans="1:15" ht="12.75" customHeight="1" hidden="1" outlineLevel="2">
      <c r="A247" s="20"/>
      <c r="B247" s="21"/>
      <c r="C247" s="22" t="s">
        <v>57</v>
      </c>
      <c r="D247" s="13" t="s">
        <v>33</v>
      </c>
      <c r="E247" s="17">
        <f>0.6/10</f>
        <v>0.06</v>
      </c>
      <c r="F247" s="136">
        <f>82.28*1.096*1.25*1.18*1.074*1.118*1.091*1.078*1.077*1.08</f>
        <v>218.49</v>
      </c>
      <c r="G247" s="20"/>
      <c r="H247" s="13"/>
      <c r="I247" s="17"/>
      <c r="J247" s="13"/>
      <c r="K247" s="13"/>
      <c r="L247" s="15">
        <f>'[5]Раздел №1'!$I$42</f>
        <v>582.9</v>
      </c>
      <c r="M247" s="20"/>
      <c r="N247" s="24">
        <f t="shared" si="10"/>
        <v>13.1</v>
      </c>
      <c r="O247" s="7" t="s">
        <v>444</v>
      </c>
    </row>
    <row r="248" spans="1:15" ht="12.75" customHeight="1" hidden="1" outlineLevel="2">
      <c r="A248" s="20"/>
      <c r="B248" s="21"/>
      <c r="C248" s="22" t="s">
        <v>642</v>
      </c>
      <c r="D248" s="13" t="s">
        <v>33</v>
      </c>
      <c r="E248" s="17">
        <f>0.0014/10*1000</f>
        <v>0.14</v>
      </c>
      <c r="F248" s="17">
        <f>27532.11/1110*1.18*1.096*1.25*1.074*1.118*1.091*1.078*1.077*1.08</f>
        <v>65.86</v>
      </c>
      <c r="G248" s="20"/>
      <c r="H248" s="13"/>
      <c r="I248" s="17"/>
      <c r="J248" s="13"/>
      <c r="K248" s="13"/>
      <c r="L248" s="15">
        <f>'[5]Раздел №1'!$I$42</f>
        <v>582.9</v>
      </c>
      <c r="M248" s="20"/>
      <c r="N248" s="24">
        <f t="shared" si="10"/>
        <v>9.2</v>
      </c>
      <c r="O248" s="7" t="s">
        <v>643</v>
      </c>
    </row>
    <row r="249" spans="1:17" ht="12.75" customHeight="1" hidden="1" outlineLevel="2">
      <c r="A249" s="20"/>
      <c r="B249" s="21"/>
      <c r="C249" s="22" t="s">
        <v>644</v>
      </c>
      <c r="D249" s="13" t="s">
        <v>33</v>
      </c>
      <c r="E249" s="17">
        <f>0.0007/10*1000</f>
        <v>0.07</v>
      </c>
      <c r="F249" s="17">
        <f>59682.59/1150*1.096*1.25*1.18*1.074*1.118*1.091*1.078*1.077*1.08</f>
        <v>137.81</v>
      </c>
      <c r="G249" s="20"/>
      <c r="H249" s="13"/>
      <c r="I249" s="17"/>
      <c r="J249" s="13"/>
      <c r="K249" s="13"/>
      <c r="L249" s="15">
        <f>'[5]Раздел №1'!$I$42</f>
        <v>582.9</v>
      </c>
      <c r="M249" s="20"/>
      <c r="N249" s="24">
        <f t="shared" si="10"/>
        <v>9.6</v>
      </c>
      <c r="O249" s="7" t="s">
        <v>645</v>
      </c>
      <c r="Q249" s="58"/>
    </row>
    <row r="250" spans="1:17" ht="12.75" customHeight="1" hidden="1" outlineLevel="2">
      <c r="A250" s="20"/>
      <c r="B250" s="21"/>
      <c r="C250" s="22" t="s">
        <v>31</v>
      </c>
      <c r="D250" s="13" t="s">
        <v>33</v>
      </c>
      <c r="E250" s="17">
        <f>0.0001/10*1000</f>
        <v>0.01</v>
      </c>
      <c r="F250" s="17">
        <f>73167.31/1120*1.18*1.096*1.25*1.074*1.118*1.091*1.078*1.077*1.08</f>
        <v>173.47</v>
      </c>
      <c r="G250" s="13"/>
      <c r="H250" s="13"/>
      <c r="I250" s="17"/>
      <c r="J250" s="17"/>
      <c r="K250" s="17"/>
      <c r="L250" s="15">
        <f>'[5]Раздел №1'!$I$42</f>
        <v>582.9</v>
      </c>
      <c r="M250" s="54"/>
      <c r="N250" s="24">
        <f t="shared" si="10"/>
        <v>1.7</v>
      </c>
      <c r="O250" s="7" t="s">
        <v>432</v>
      </c>
      <c r="Q250" s="58"/>
    </row>
    <row r="251" spans="1:17" ht="12.75" customHeight="1" hidden="1" outlineLevel="2">
      <c r="A251" s="20"/>
      <c r="B251" s="21"/>
      <c r="C251" s="22" t="s">
        <v>62</v>
      </c>
      <c r="D251" s="13" t="s">
        <v>33</v>
      </c>
      <c r="E251" s="17">
        <f>0.0007/10*1000</f>
        <v>0.07</v>
      </c>
      <c r="F251" s="17">
        <f>49916.37/1000*1.18*1.096*1.25*1.074*1.118*1.091*1.078*1.077*1.08</f>
        <v>132.55</v>
      </c>
      <c r="G251" s="13"/>
      <c r="H251" s="13"/>
      <c r="I251" s="17"/>
      <c r="J251" s="17"/>
      <c r="K251" s="17"/>
      <c r="L251" s="15">
        <f>'[5]Раздел №1'!$I$42</f>
        <v>582.9</v>
      </c>
      <c r="M251" s="54"/>
      <c r="N251" s="24">
        <f t="shared" si="10"/>
        <v>9.3</v>
      </c>
      <c r="O251" s="7" t="s">
        <v>441</v>
      </c>
      <c r="Q251" s="58"/>
    </row>
    <row r="252" spans="1:14" ht="16.5" customHeight="1" outlineLevel="1" collapsed="1">
      <c r="A252" s="20"/>
      <c r="B252" s="21" t="s">
        <v>646</v>
      </c>
      <c r="C252" s="22"/>
      <c r="D252" s="13"/>
      <c r="E252" s="59"/>
      <c r="F252" s="17"/>
      <c r="G252" s="13" t="s">
        <v>639</v>
      </c>
      <c r="H252" s="13" t="s">
        <v>640</v>
      </c>
      <c r="I252" s="17">
        <f>61.16/10</f>
        <v>6.12</v>
      </c>
      <c r="J252" s="32">
        <v>1</v>
      </c>
      <c r="K252" s="17">
        <f>I252*J252</f>
        <v>6.12</v>
      </c>
      <c r="L252" s="15">
        <f>'[5]Раздел №1'!$I$42</f>
        <v>582.9</v>
      </c>
      <c r="M252" s="54">
        <f>K252*L252</f>
        <v>3567</v>
      </c>
      <c r="N252" s="54">
        <f>SUM(N253:N258)</f>
        <v>48</v>
      </c>
    </row>
    <row r="253" spans="1:15" ht="19.5" customHeight="1" hidden="1" outlineLevel="2">
      <c r="A253" s="20"/>
      <c r="B253" s="21"/>
      <c r="C253" s="22" t="s">
        <v>641</v>
      </c>
      <c r="D253" s="13" t="s">
        <v>33</v>
      </c>
      <c r="E253" s="17">
        <f>0.002/10*1000</f>
        <v>0.2</v>
      </c>
      <c r="F253" s="17">
        <f>9712.71/1010*1.096*1.25*1.18*1.074*1.118*1.091*1.078*1.077*1.08</f>
        <v>25.54</v>
      </c>
      <c r="G253" s="20"/>
      <c r="H253" s="13"/>
      <c r="I253" s="17"/>
      <c r="J253" s="13"/>
      <c r="K253" s="13"/>
      <c r="L253" s="15">
        <f>'[5]Раздел №1'!$I$42</f>
        <v>582.9</v>
      </c>
      <c r="M253" s="20"/>
      <c r="N253" s="24">
        <f aca="true" t="shared" si="11" ref="N253:N258">E253*F253</f>
        <v>5.1</v>
      </c>
      <c r="O253" s="7" t="s">
        <v>446</v>
      </c>
    </row>
    <row r="254" spans="1:15" ht="12.75" customHeight="1" hidden="1" outlineLevel="2">
      <c r="A254" s="20"/>
      <c r="B254" s="21"/>
      <c r="C254" s="22" t="s">
        <v>57</v>
      </c>
      <c r="D254" s="13" t="s">
        <v>33</v>
      </c>
      <c r="E254" s="17">
        <f>0.6/10</f>
        <v>0.06</v>
      </c>
      <c r="F254" s="17">
        <f>82.28*1.096*1.25*1.18*1.074*1.118*1.091*1.078*1.077*1.08</f>
        <v>218.49</v>
      </c>
      <c r="G254" s="20"/>
      <c r="H254" s="13"/>
      <c r="I254" s="17"/>
      <c r="J254" s="13"/>
      <c r="K254" s="13"/>
      <c r="L254" s="15">
        <f>'[5]Раздел №1'!$I$42</f>
        <v>582.9</v>
      </c>
      <c r="M254" s="20"/>
      <c r="N254" s="24">
        <f t="shared" si="11"/>
        <v>13.1</v>
      </c>
      <c r="O254" s="7" t="s">
        <v>444</v>
      </c>
    </row>
    <row r="255" spans="1:15" ht="12.75" customHeight="1" hidden="1" outlineLevel="2">
      <c r="A255" s="20"/>
      <c r="B255" s="21"/>
      <c r="C255" s="22" t="s">
        <v>642</v>
      </c>
      <c r="D255" s="13" t="s">
        <v>33</v>
      </c>
      <c r="E255" s="17">
        <f>0.0014/10*1000</f>
        <v>0.14</v>
      </c>
      <c r="F255" s="17">
        <f>27532.11/1110*1.18*1.096*1.25*1.074*1.118*1.091*1.078*1.077*1.08</f>
        <v>65.86</v>
      </c>
      <c r="G255" s="20"/>
      <c r="H255" s="13"/>
      <c r="I255" s="17"/>
      <c r="J255" s="13"/>
      <c r="K255" s="13"/>
      <c r="L255" s="15">
        <f>'[5]Раздел №1'!$I$42</f>
        <v>582.9</v>
      </c>
      <c r="M255" s="20"/>
      <c r="N255" s="24">
        <f t="shared" si="11"/>
        <v>9.2</v>
      </c>
      <c r="O255" s="7" t="s">
        <v>643</v>
      </c>
    </row>
    <row r="256" spans="1:17" ht="12.75" customHeight="1" hidden="1" outlineLevel="2">
      <c r="A256" s="20"/>
      <c r="B256" s="21"/>
      <c r="C256" s="22" t="s">
        <v>644</v>
      </c>
      <c r="D256" s="13" t="s">
        <v>33</v>
      </c>
      <c r="E256" s="17">
        <f>0.0007/10*1000</f>
        <v>0.07</v>
      </c>
      <c r="F256" s="17">
        <f>59682.59/1150*1.096*1.25*1.18*1.074*1.118*1.091*1.078*1.077*1.08</f>
        <v>137.81</v>
      </c>
      <c r="G256" s="20"/>
      <c r="H256" s="13"/>
      <c r="I256" s="17"/>
      <c r="J256" s="13"/>
      <c r="K256" s="13"/>
      <c r="L256" s="15">
        <f>'[5]Раздел №1'!$I$42</f>
        <v>582.9</v>
      </c>
      <c r="M256" s="20"/>
      <c r="N256" s="24">
        <f t="shared" si="11"/>
        <v>9.6</v>
      </c>
      <c r="O256" s="7" t="s">
        <v>645</v>
      </c>
      <c r="Q256" s="58"/>
    </row>
    <row r="257" spans="1:17" ht="12.75" customHeight="1" hidden="1" outlineLevel="2">
      <c r="A257" s="20"/>
      <c r="B257" s="21"/>
      <c r="C257" s="22" t="s">
        <v>31</v>
      </c>
      <c r="D257" s="13" t="s">
        <v>33</v>
      </c>
      <c r="E257" s="17">
        <f>0.0001/10*1000</f>
        <v>0.01</v>
      </c>
      <c r="F257" s="17">
        <f>73167.31/1120*1.18*1.096*1.25*1.074*1.118*1.091*1.078*1.077*1.08</f>
        <v>173.47</v>
      </c>
      <c r="G257" s="13"/>
      <c r="H257" s="13"/>
      <c r="I257" s="17"/>
      <c r="J257" s="17"/>
      <c r="K257" s="17"/>
      <c r="L257" s="15">
        <f>'[5]Раздел №1'!$I$42</f>
        <v>582.9</v>
      </c>
      <c r="M257" s="54"/>
      <c r="N257" s="24">
        <f t="shared" si="11"/>
        <v>1.7</v>
      </c>
      <c r="O257" s="7" t="s">
        <v>432</v>
      </c>
      <c r="Q257" s="58"/>
    </row>
    <row r="258" spans="1:17" ht="12.75" customHeight="1" hidden="1" outlineLevel="2">
      <c r="A258" s="20"/>
      <c r="B258" s="21"/>
      <c r="C258" s="22" t="s">
        <v>62</v>
      </c>
      <c r="D258" s="13" t="s">
        <v>33</v>
      </c>
      <c r="E258" s="17">
        <f>0.0007/10*1000</f>
        <v>0.07</v>
      </c>
      <c r="F258" s="17">
        <f>49916.37/1000*1.18*1.096*1.25*1.074*1.118*1.091*1.078*1.077*1.08</f>
        <v>132.55</v>
      </c>
      <c r="G258" s="13"/>
      <c r="H258" s="13"/>
      <c r="I258" s="17"/>
      <c r="J258" s="17"/>
      <c r="K258" s="17"/>
      <c r="L258" s="15">
        <f>'[5]Раздел №1'!$I$42</f>
        <v>582.9</v>
      </c>
      <c r="M258" s="54"/>
      <c r="N258" s="24">
        <f t="shared" si="11"/>
        <v>9.3</v>
      </c>
      <c r="O258" s="7" t="s">
        <v>441</v>
      </c>
      <c r="Q258" s="58"/>
    </row>
    <row r="259" spans="1:14" ht="16.5" customHeight="1" outlineLevel="1" collapsed="1">
      <c r="A259" s="20"/>
      <c r="B259" s="21" t="s">
        <v>647</v>
      </c>
      <c r="C259" s="22"/>
      <c r="D259" s="13"/>
      <c r="E259" s="16"/>
      <c r="F259" s="17"/>
      <c r="G259" s="13" t="s">
        <v>639</v>
      </c>
      <c r="H259" s="13" t="s">
        <v>640</v>
      </c>
      <c r="I259" s="17">
        <f>48.64/10</f>
        <v>4.86</v>
      </c>
      <c r="J259" s="32">
        <v>1</v>
      </c>
      <c r="K259" s="17">
        <f>I259*J259</f>
        <v>4.86</v>
      </c>
      <c r="L259" s="15">
        <f>'[5]Раздел №1'!$I$42</f>
        <v>582.9</v>
      </c>
      <c r="M259" s="54">
        <f>K259*L259</f>
        <v>2833</v>
      </c>
      <c r="N259" s="24">
        <v>0</v>
      </c>
    </row>
    <row r="260" spans="1:14" ht="15" customHeight="1" outlineLevel="1">
      <c r="A260" s="20" t="s">
        <v>762</v>
      </c>
      <c r="B260" s="21" t="s">
        <v>760</v>
      </c>
      <c r="C260" s="22"/>
      <c r="D260" s="13"/>
      <c r="E260" s="16"/>
      <c r="F260" s="17"/>
      <c r="G260" s="13" t="s">
        <v>548</v>
      </c>
      <c r="H260" s="13" t="s">
        <v>618</v>
      </c>
      <c r="I260" s="17">
        <v>0.48</v>
      </c>
      <c r="J260" s="17">
        <v>1</v>
      </c>
      <c r="K260" s="17">
        <f>I260*J260</f>
        <v>0.48</v>
      </c>
      <c r="L260" s="15">
        <f>'[5]Раздел №1'!$I$42</f>
        <v>582.9</v>
      </c>
      <c r="M260" s="54">
        <f>K260*L260</f>
        <v>280</v>
      </c>
      <c r="N260" s="24">
        <f>SUM(N261:N263)</f>
        <v>7.6</v>
      </c>
    </row>
    <row r="261" spans="1:14" ht="12.75" customHeight="1" hidden="1" outlineLevel="2">
      <c r="A261" s="20"/>
      <c r="B261" s="21"/>
      <c r="C261" s="65" t="s">
        <v>56</v>
      </c>
      <c r="D261" s="13" t="s">
        <v>33</v>
      </c>
      <c r="E261" s="16">
        <v>0.025</v>
      </c>
      <c r="F261" s="17">
        <f>49207.49/1110*1.18*1.096*1.25*1.074*1.118*1.091*1.078*1.077*1.08</f>
        <v>117.72</v>
      </c>
      <c r="G261" s="13" t="s">
        <v>1013</v>
      </c>
      <c r="H261" s="13"/>
      <c r="I261" s="17"/>
      <c r="J261" s="17">
        <v>1</v>
      </c>
      <c r="K261" s="17">
        <f aca="true" t="shared" si="12" ref="K261:K280">I261*J261</f>
        <v>0</v>
      </c>
      <c r="L261" s="15">
        <f>'[5]Раздел №1'!$I$42</f>
        <v>582.9</v>
      </c>
      <c r="M261" s="54">
        <f aca="true" t="shared" si="13" ref="M261:M280">K261*L261</f>
        <v>0</v>
      </c>
      <c r="N261" s="24">
        <f>E261*F261</f>
        <v>2.9</v>
      </c>
    </row>
    <row r="262" spans="1:14" ht="12.75" customHeight="1" hidden="1" outlineLevel="2">
      <c r="A262" s="20"/>
      <c r="B262" s="21"/>
      <c r="C262" s="22" t="s">
        <v>57</v>
      </c>
      <c r="D262" s="13" t="s">
        <v>33</v>
      </c>
      <c r="E262" s="64">
        <v>0.0122</v>
      </c>
      <c r="F262" s="17">
        <f>82.28*1.096*1.25*1.18*1.074*1.118*1.091*1.078*1.077*1.08</f>
        <v>218.49</v>
      </c>
      <c r="G262" s="13" t="s">
        <v>1014</v>
      </c>
      <c r="H262" s="13" t="s">
        <v>622</v>
      </c>
      <c r="I262" s="17"/>
      <c r="J262" s="17">
        <v>1</v>
      </c>
      <c r="K262" s="17">
        <f t="shared" si="12"/>
        <v>0</v>
      </c>
      <c r="L262" s="15">
        <f>'[5]Раздел №1'!$I$42</f>
        <v>582.9</v>
      </c>
      <c r="M262" s="54">
        <f t="shared" si="13"/>
        <v>0</v>
      </c>
      <c r="N262" s="24">
        <f>E262*F262</f>
        <v>2.7</v>
      </c>
    </row>
    <row r="263" spans="1:14" ht="12.75" customHeight="1" hidden="1" outlineLevel="2">
      <c r="A263" s="20"/>
      <c r="B263" s="21"/>
      <c r="C263" s="65" t="s">
        <v>58</v>
      </c>
      <c r="D263" s="13" t="s">
        <v>33</v>
      </c>
      <c r="E263" s="16">
        <v>0.012</v>
      </c>
      <c r="F263" s="17">
        <f>74.29/1.2*1.096*1.25*1.18*1.074*1.118*1.091*1.078*1.077*1.08</f>
        <v>164.39</v>
      </c>
      <c r="G263" s="13" t="s">
        <v>1015</v>
      </c>
      <c r="H263" s="13"/>
      <c r="I263" s="17"/>
      <c r="J263" s="17">
        <v>1</v>
      </c>
      <c r="K263" s="17">
        <f t="shared" si="12"/>
        <v>0</v>
      </c>
      <c r="L263" s="15">
        <f>'[5]Раздел №1'!$I$42</f>
        <v>582.9</v>
      </c>
      <c r="M263" s="54">
        <f t="shared" si="13"/>
        <v>0</v>
      </c>
      <c r="N263" s="24">
        <f>E263*F263</f>
        <v>2</v>
      </c>
    </row>
    <row r="264" spans="1:14" ht="12.75" customHeight="1" hidden="1" outlineLevel="2">
      <c r="A264" s="20"/>
      <c r="B264" s="125" t="s">
        <v>941</v>
      </c>
      <c r="C264" s="65"/>
      <c r="D264" s="13"/>
      <c r="E264" s="16"/>
      <c r="F264" s="17"/>
      <c r="G264" s="13" t="s">
        <v>1016</v>
      </c>
      <c r="H264" s="13"/>
      <c r="I264" s="17"/>
      <c r="J264" s="17">
        <v>1</v>
      </c>
      <c r="K264" s="17">
        <f t="shared" si="12"/>
        <v>0</v>
      </c>
      <c r="L264" s="15">
        <f>'[5]Раздел №1'!$I$42</f>
        <v>582.9</v>
      </c>
      <c r="M264" s="54">
        <f t="shared" si="13"/>
        <v>0</v>
      </c>
      <c r="N264" s="24"/>
    </row>
    <row r="265" spans="1:14" ht="12.75" customHeight="1" hidden="1" outlineLevel="2">
      <c r="A265" s="20">
        <v>1</v>
      </c>
      <c r="B265" s="21" t="s">
        <v>942</v>
      </c>
      <c r="C265" s="65"/>
      <c r="D265" s="13"/>
      <c r="E265" s="16"/>
      <c r="F265" s="17"/>
      <c r="G265" s="13" t="s">
        <v>1017</v>
      </c>
      <c r="H265" s="13" t="s">
        <v>572</v>
      </c>
      <c r="I265" s="13">
        <f>68.8/100</f>
        <v>0.688</v>
      </c>
      <c r="J265" s="17">
        <v>1</v>
      </c>
      <c r="K265" s="17">
        <f t="shared" si="12"/>
        <v>0.69</v>
      </c>
      <c r="L265" s="15">
        <f>'[5]Раздел №1'!$I$42</f>
        <v>582.9</v>
      </c>
      <c r="M265" s="54">
        <f t="shared" si="13"/>
        <v>402</v>
      </c>
      <c r="N265" s="24">
        <v>0</v>
      </c>
    </row>
    <row r="266" spans="1:14" ht="12.75" customHeight="1" hidden="1" outlineLevel="2">
      <c r="A266" s="20">
        <v>2</v>
      </c>
      <c r="B266" s="21"/>
      <c r="C266" s="65"/>
      <c r="D266" s="13"/>
      <c r="E266" s="16"/>
      <c r="F266" s="17"/>
      <c r="G266" s="13" t="s">
        <v>1018</v>
      </c>
      <c r="H266" s="13"/>
      <c r="I266" s="13"/>
      <c r="J266" s="17">
        <v>1</v>
      </c>
      <c r="K266" s="17">
        <f t="shared" si="12"/>
        <v>0</v>
      </c>
      <c r="L266" s="15">
        <f>'[5]Раздел №1'!$I$42</f>
        <v>582.9</v>
      </c>
      <c r="M266" s="54">
        <f t="shared" si="13"/>
        <v>0</v>
      </c>
      <c r="N266" s="24"/>
    </row>
    <row r="267" spans="1:14" ht="12.75" customHeight="1" hidden="1" outlineLevel="2">
      <c r="A267" s="20">
        <v>3</v>
      </c>
      <c r="B267" s="21" t="s">
        <v>943</v>
      </c>
      <c r="C267" s="65"/>
      <c r="D267" s="13"/>
      <c r="E267" s="16"/>
      <c r="F267" s="17"/>
      <c r="G267" s="13" t="s">
        <v>1019</v>
      </c>
      <c r="H267" s="13" t="s">
        <v>575</v>
      </c>
      <c r="I267" s="13">
        <f>64.24/100</f>
        <v>0.6424</v>
      </c>
      <c r="J267" s="17">
        <v>1</v>
      </c>
      <c r="K267" s="17">
        <f t="shared" si="12"/>
        <v>0.64</v>
      </c>
      <c r="L267" s="15">
        <f>'[5]Раздел №1'!$I$42</f>
        <v>582.9</v>
      </c>
      <c r="M267" s="54">
        <f t="shared" si="13"/>
        <v>373</v>
      </c>
      <c r="N267" s="24">
        <v>0.3</v>
      </c>
    </row>
    <row r="268" spans="1:14" ht="12.75" customHeight="1" hidden="1" outlineLevel="2">
      <c r="A268" s="20">
        <v>4</v>
      </c>
      <c r="B268" s="21"/>
      <c r="C268" s="65"/>
      <c r="D268" s="13"/>
      <c r="E268" s="16"/>
      <c r="F268" s="17"/>
      <c r="G268" s="13" t="s">
        <v>1020</v>
      </c>
      <c r="H268" s="13"/>
      <c r="I268" s="13"/>
      <c r="J268" s="17">
        <v>1</v>
      </c>
      <c r="K268" s="17">
        <f t="shared" si="12"/>
        <v>0</v>
      </c>
      <c r="L268" s="15">
        <f>'[5]Раздел №1'!$I$42</f>
        <v>582.9</v>
      </c>
      <c r="M268" s="54">
        <f t="shared" si="13"/>
        <v>0</v>
      </c>
      <c r="N268" s="24"/>
    </row>
    <row r="269" spans="1:14" ht="12.75" customHeight="1" hidden="1" outlineLevel="2">
      <c r="A269" s="20">
        <v>5</v>
      </c>
      <c r="B269" s="21" t="s">
        <v>944</v>
      </c>
      <c r="C269" s="65"/>
      <c r="D269" s="13"/>
      <c r="E269" s="16"/>
      <c r="F269" s="17"/>
      <c r="G269" s="13" t="s">
        <v>1021</v>
      </c>
      <c r="H269" s="13" t="s">
        <v>564</v>
      </c>
      <c r="I269" s="13">
        <f>42/100</f>
        <v>0.42</v>
      </c>
      <c r="J269" s="17">
        <v>1</v>
      </c>
      <c r="K269" s="17">
        <f t="shared" si="12"/>
        <v>0.42</v>
      </c>
      <c r="L269" s="15">
        <f>'[5]Раздел №1'!$I$42</f>
        <v>582.9</v>
      </c>
      <c r="M269" s="54">
        <f t="shared" si="13"/>
        <v>245</v>
      </c>
      <c r="N269" s="24">
        <v>4.4</v>
      </c>
    </row>
    <row r="270" spans="1:14" ht="12.75" customHeight="1" hidden="1" outlineLevel="2">
      <c r="A270" s="20">
        <v>6</v>
      </c>
      <c r="B270" s="21" t="s">
        <v>945</v>
      </c>
      <c r="C270" s="65"/>
      <c r="D270" s="13"/>
      <c r="E270" s="16"/>
      <c r="F270" s="17"/>
      <c r="G270" s="13" t="s">
        <v>1022</v>
      </c>
      <c r="H270" s="13" t="s">
        <v>562</v>
      </c>
      <c r="I270" s="13">
        <f>76.3/100</f>
        <v>0.763</v>
      </c>
      <c r="J270" s="17">
        <v>1</v>
      </c>
      <c r="K270" s="17">
        <f t="shared" si="12"/>
        <v>0.76</v>
      </c>
      <c r="L270" s="15">
        <f>'[5]Раздел №1'!$I$42</f>
        <v>582.9</v>
      </c>
      <c r="M270" s="54">
        <f t="shared" si="13"/>
        <v>443</v>
      </c>
      <c r="N270" s="24">
        <v>0</v>
      </c>
    </row>
    <row r="271" spans="1:14" ht="12.75" customHeight="1" hidden="1" outlineLevel="2">
      <c r="A271" s="20"/>
      <c r="B271" s="21" t="s">
        <v>946</v>
      </c>
      <c r="C271" s="65"/>
      <c r="D271" s="13"/>
      <c r="E271" s="16"/>
      <c r="F271" s="17"/>
      <c r="G271" s="13" t="s">
        <v>1023</v>
      </c>
      <c r="H271" s="13"/>
      <c r="I271" s="17"/>
      <c r="J271" s="17">
        <v>1</v>
      </c>
      <c r="K271" s="17">
        <f t="shared" si="12"/>
        <v>0</v>
      </c>
      <c r="L271" s="15">
        <f>'[5]Раздел №1'!$I$42</f>
        <v>582.9</v>
      </c>
      <c r="M271" s="54">
        <f t="shared" si="13"/>
        <v>0</v>
      </c>
      <c r="N271" s="24"/>
    </row>
    <row r="272" spans="1:14" ht="12.75" customHeight="1" hidden="1" outlineLevel="2">
      <c r="A272" s="20"/>
      <c r="B272" s="125" t="s">
        <v>947</v>
      </c>
      <c r="C272" s="65"/>
      <c r="D272" s="13"/>
      <c r="E272" s="16"/>
      <c r="F272" s="17"/>
      <c r="G272" s="13" t="s">
        <v>1024</v>
      </c>
      <c r="H272" s="13"/>
      <c r="I272" s="17"/>
      <c r="J272" s="17">
        <v>1</v>
      </c>
      <c r="K272" s="17">
        <f t="shared" si="12"/>
        <v>0</v>
      </c>
      <c r="L272" s="15">
        <f>'[5]Раздел №1'!$I$42</f>
        <v>582.9</v>
      </c>
      <c r="M272" s="54">
        <f t="shared" si="13"/>
        <v>0</v>
      </c>
      <c r="N272" s="24"/>
    </row>
    <row r="273" spans="1:14" ht="12.75" customHeight="1" hidden="1" outlineLevel="2">
      <c r="A273" s="20"/>
      <c r="B273" s="120" t="s">
        <v>948</v>
      </c>
      <c r="C273" s="65"/>
      <c r="D273" s="13"/>
      <c r="E273" s="16"/>
      <c r="F273" s="17"/>
      <c r="G273" s="13" t="s">
        <v>1025</v>
      </c>
      <c r="H273" s="13"/>
      <c r="I273" s="17"/>
      <c r="J273" s="17">
        <v>1</v>
      </c>
      <c r="K273" s="17">
        <f t="shared" si="12"/>
        <v>0</v>
      </c>
      <c r="L273" s="15">
        <f>'[5]Раздел №1'!$I$42</f>
        <v>582.9</v>
      </c>
      <c r="M273" s="54">
        <f t="shared" si="13"/>
        <v>0</v>
      </c>
      <c r="N273" s="24"/>
    </row>
    <row r="274" spans="1:14" ht="12.75" customHeight="1" hidden="1" outlineLevel="2">
      <c r="A274" s="20"/>
      <c r="B274" s="125"/>
      <c r="C274" s="65"/>
      <c r="D274" s="13"/>
      <c r="E274" s="16"/>
      <c r="F274" s="17"/>
      <c r="G274" s="13" t="s">
        <v>1026</v>
      </c>
      <c r="H274" s="13"/>
      <c r="I274" s="17"/>
      <c r="J274" s="17">
        <v>1</v>
      </c>
      <c r="K274" s="17">
        <f t="shared" si="12"/>
        <v>0</v>
      </c>
      <c r="L274" s="15">
        <f>'[5]Раздел №1'!$I$42</f>
        <v>582.9</v>
      </c>
      <c r="M274" s="54">
        <f t="shared" si="13"/>
        <v>0</v>
      </c>
      <c r="N274" s="24"/>
    </row>
    <row r="275" spans="1:14" ht="12.75" customHeight="1" hidden="1" outlineLevel="2">
      <c r="A275" s="20"/>
      <c r="B275" s="125"/>
      <c r="C275" s="65"/>
      <c r="D275" s="13"/>
      <c r="E275" s="16"/>
      <c r="F275" s="17"/>
      <c r="G275" s="13" t="s">
        <v>1027</v>
      </c>
      <c r="H275" s="13"/>
      <c r="I275" s="17"/>
      <c r="J275" s="17">
        <v>1</v>
      </c>
      <c r="K275" s="17">
        <f t="shared" si="12"/>
        <v>0</v>
      </c>
      <c r="L275" s="15">
        <f>'[5]Раздел №1'!$I$42</f>
        <v>582.9</v>
      </c>
      <c r="M275" s="54">
        <f t="shared" si="13"/>
        <v>0</v>
      </c>
      <c r="N275" s="24"/>
    </row>
    <row r="276" spans="1:14" ht="12.75" customHeight="1" hidden="1" outlineLevel="2">
      <c r="A276" s="20"/>
      <c r="B276" s="125"/>
      <c r="C276" s="65"/>
      <c r="D276" s="13"/>
      <c r="E276" s="16"/>
      <c r="F276" s="17"/>
      <c r="G276" s="13" t="s">
        <v>1028</v>
      </c>
      <c r="H276" s="13"/>
      <c r="I276" s="17"/>
      <c r="J276" s="17">
        <v>1</v>
      </c>
      <c r="K276" s="17">
        <f t="shared" si="12"/>
        <v>0</v>
      </c>
      <c r="L276" s="15">
        <f>'[5]Раздел №1'!$I$42</f>
        <v>582.9</v>
      </c>
      <c r="M276" s="54">
        <f t="shared" si="13"/>
        <v>0</v>
      </c>
      <c r="N276" s="24"/>
    </row>
    <row r="277" spans="1:14" ht="12.75" customHeight="1" hidden="1" outlineLevel="2">
      <c r="A277" s="20"/>
      <c r="B277" s="125"/>
      <c r="C277" s="65"/>
      <c r="D277" s="13"/>
      <c r="E277" s="16"/>
      <c r="F277" s="17"/>
      <c r="G277" s="13" t="s">
        <v>1029</v>
      </c>
      <c r="H277" s="13"/>
      <c r="I277" s="17"/>
      <c r="J277" s="17">
        <v>1</v>
      </c>
      <c r="K277" s="17">
        <f t="shared" si="12"/>
        <v>0</v>
      </c>
      <c r="L277" s="15">
        <f>'[5]Раздел №1'!$I$42</f>
        <v>582.9</v>
      </c>
      <c r="M277" s="54">
        <f t="shared" si="13"/>
        <v>0</v>
      </c>
      <c r="N277" s="24"/>
    </row>
    <row r="278" spans="1:14" ht="12.75" customHeight="1" hidden="1" outlineLevel="2">
      <c r="A278" s="20"/>
      <c r="B278" s="21"/>
      <c r="C278" s="65"/>
      <c r="D278" s="13"/>
      <c r="E278" s="16"/>
      <c r="F278" s="17"/>
      <c r="G278" s="13" t="s">
        <v>1030</v>
      </c>
      <c r="H278" s="13"/>
      <c r="I278" s="17"/>
      <c r="J278" s="17">
        <v>1</v>
      </c>
      <c r="K278" s="17">
        <f t="shared" si="12"/>
        <v>0</v>
      </c>
      <c r="L278" s="15">
        <f>'[5]Раздел №1'!$I$42</f>
        <v>582.9</v>
      </c>
      <c r="M278" s="54">
        <f t="shared" si="13"/>
        <v>0</v>
      </c>
      <c r="N278" s="24"/>
    </row>
    <row r="279" spans="1:14" ht="15.75" customHeight="1" outlineLevel="1" collapsed="1">
      <c r="A279" s="126" t="s">
        <v>1011</v>
      </c>
      <c r="B279" s="21" t="s">
        <v>1012</v>
      </c>
      <c r="C279" s="65"/>
      <c r="D279" s="13"/>
      <c r="E279" s="16"/>
      <c r="F279" s="17"/>
      <c r="G279" s="13" t="s">
        <v>1031</v>
      </c>
      <c r="H279" s="13" t="s">
        <v>1032</v>
      </c>
      <c r="I279" s="17">
        <v>0.77</v>
      </c>
      <c r="J279" s="17">
        <v>1</v>
      </c>
      <c r="K279" s="17">
        <f t="shared" si="12"/>
        <v>0.77</v>
      </c>
      <c r="L279" s="15">
        <f>'[5]Раздел №1'!$I$42</f>
        <v>582.9</v>
      </c>
      <c r="M279" s="54">
        <f t="shared" si="13"/>
        <v>449</v>
      </c>
      <c r="N279" s="24">
        <v>0</v>
      </c>
    </row>
    <row r="280" spans="1:14" ht="26.25" customHeight="1" outlineLevel="1">
      <c r="A280" s="126" t="s">
        <v>1033</v>
      </c>
      <c r="B280" s="21" t="s">
        <v>1034</v>
      </c>
      <c r="C280" s="65"/>
      <c r="D280" s="13"/>
      <c r="E280" s="16"/>
      <c r="F280" s="17"/>
      <c r="G280" s="13" t="s">
        <v>1031</v>
      </c>
      <c r="H280" s="13" t="s">
        <v>1032</v>
      </c>
      <c r="I280" s="17">
        <v>0.57</v>
      </c>
      <c r="J280" s="17">
        <v>1</v>
      </c>
      <c r="K280" s="13">
        <f t="shared" si="12"/>
        <v>0.57</v>
      </c>
      <c r="L280" s="15">
        <f>'[5]Раздел №1'!$I$42</f>
        <v>582.9</v>
      </c>
      <c r="M280" s="54">
        <f t="shared" si="13"/>
        <v>332</v>
      </c>
      <c r="N280" s="24">
        <v>0</v>
      </c>
    </row>
    <row r="281" spans="1:15" s="3" customFormat="1" ht="19.5" customHeight="1">
      <c r="A281" s="25">
        <v>2</v>
      </c>
      <c r="B281" s="26" t="s">
        <v>3</v>
      </c>
      <c r="C281" s="27"/>
      <c r="D281" s="28"/>
      <c r="E281" s="29"/>
      <c r="F281" s="41"/>
      <c r="G281" s="28"/>
      <c r="H281" s="30"/>
      <c r="I281" s="29"/>
      <c r="J281" s="28"/>
      <c r="K281" s="33"/>
      <c r="L281" s="33"/>
      <c r="M281" s="31" t="s">
        <v>103</v>
      </c>
      <c r="N281" s="31"/>
      <c r="O281" s="42"/>
    </row>
    <row r="282" spans="1:20" ht="15" customHeight="1">
      <c r="A282" s="60" t="s">
        <v>695</v>
      </c>
      <c r="B282" s="21" t="s">
        <v>913</v>
      </c>
      <c r="C282" s="22"/>
      <c r="D282" s="13"/>
      <c r="E282" s="16"/>
      <c r="F282" s="32"/>
      <c r="G282" s="13" t="s">
        <v>23</v>
      </c>
      <c r="H282" s="13" t="s">
        <v>358</v>
      </c>
      <c r="I282" s="17">
        <f>24.1/100</f>
        <v>0.24</v>
      </c>
      <c r="J282" s="15">
        <v>1.2</v>
      </c>
      <c r="K282" s="17">
        <f>I282*J282</f>
        <v>0.29</v>
      </c>
      <c r="L282" s="15">
        <f>'[5]Раздел №1'!$I$32</f>
        <v>468.7</v>
      </c>
      <c r="M282" s="24">
        <f>K282*L282</f>
        <v>135.9</v>
      </c>
      <c r="N282" s="24">
        <v>0</v>
      </c>
      <c r="T282" s="2" t="s">
        <v>103</v>
      </c>
    </row>
    <row r="283" spans="1:14" ht="15" customHeight="1">
      <c r="A283" s="20" t="s">
        <v>696</v>
      </c>
      <c r="B283" s="21" t="s">
        <v>937</v>
      </c>
      <c r="C283" s="22"/>
      <c r="D283" s="13"/>
      <c r="E283" s="16"/>
      <c r="F283" s="32"/>
      <c r="G283" s="13" t="s">
        <v>23</v>
      </c>
      <c r="H283" s="13" t="s">
        <v>357</v>
      </c>
      <c r="I283" s="17">
        <f>24.1/100</f>
        <v>0.24</v>
      </c>
      <c r="J283" s="15">
        <v>1.2</v>
      </c>
      <c r="K283" s="17">
        <f>I283*J283</f>
        <v>0.29</v>
      </c>
      <c r="L283" s="15">
        <f>'[5]Раздел №1'!$I$32</f>
        <v>468.7</v>
      </c>
      <c r="M283" s="24">
        <f>K283*L283</f>
        <v>135.9</v>
      </c>
      <c r="N283" s="24">
        <f>SUM(N284:N284)</f>
        <v>0</v>
      </c>
    </row>
    <row r="284" spans="1:15" ht="12.75" customHeight="1" hidden="1" outlineLevel="1">
      <c r="A284" s="20" t="s">
        <v>103</v>
      </c>
      <c r="B284" s="21"/>
      <c r="C284" s="22" t="s">
        <v>105</v>
      </c>
      <c r="D284" s="13" t="s">
        <v>41</v>
      </c>
      <c r="E284" s="16">
        <f>100/100</f>
        <v>1</v>
      </c>
      <c r="F284" s="17"/>
      <c r="G284" s="13"/>
      <c r="H284" s="13" t="s">
        <v>357</v>
      </c>
      <c r="I284" s="13"/>
      <c r="J284" s="13"/>
      <c r="K284" s="13"/>
      <c r="L284" s="15">
        <f>'[5]Раздел №1'!$I$32</f>
        <v>468.7</v>
      </c>
      <c r="M284" s="20"/>
      <c r="N284" s="24">
        <f>E284*F284</f>
        <v>0</v>
      </c>
      <c r="O284" s="7" t="s">
        <v>488</v>
      </c>
    </row>
    <row r="285" spans="1:14" ht="14.25" customHeight="1" collapsed="1">
      <c r="A285" s="20" t="s">
        <v>697</v>
      </c>
      <c r="B285" s="21" t="s">
        <v>4</v>
      </c>
      <c r="C285" s="22"/>
      <c r="D285" s="13"/>
      <c r="E285" s="16"/>
      <c r="F285" s="32"/>
      <c r="G285" s="13" t="s">
        <v>23</v>
      </c>
      <c r="H285" s="13" t="s">
        <v>358</v>
      </c>
      <c r="I285" s="17">
        <f>24.1/100</f>
        <v>0.24</v>
      </c>
      <c r="J285" s="15">
        <v>1.2</v>
      </c>
      <c r="K285" s="17">
        <f>I285*J285</f>
        <v>0.29</v>
      </c>
      <c r="L285" s="15">
        <f>'[5]Раздел №1'!$I$32</f>
        <v>468.7</v>
      </c>
      <c r="M285" s="24">
        <f>K285*L285</f>
        <v>135.9</v>
      </c>
      <c r="N285" s="24">
        <v>0</v>
      </c>
    </row>
    <row r="286" spans="1:14" ht="15" customHeight="1">
      <c r="A286" s="20" t="s">
        <v>698</v>
      </c>
      <c r="B286" s="21" t="s">
        <v>16</v>
      </c>
      <c r="C286" s="22"/>
      <c r="D286" s="13"/>
      <c r="E286" s="16"/>
      <c r="F286" s="32"/>
      <c r="G286" s="13" t="s">
        <v>23</v>
      </c>
      <c r="H286" s="13" t="s">
        <v>357</v>
      </c>
      <c r="I286" s="17">
        <f>24.1/100</f>
        <v>0.24</v>
      </c>
      <c r="J286" s="15">
        <v>1.2</v>
      </c>
      <c r="K286" s="17">
        <f>I286*J286</f>
        <v>0.29</v>
      </c>
      <c r="L286" s="15">
        <f>'[5]Раздел №1'!$I$32</f>
        <v>468.7</v>
      </c>
      <c r="M286" s="24">
        <f>K286*L286</f>
        <v>135.9</v>
      </c>
      <c r="N286" s="24">
        <f>SUM(N287:N287)</f>
        <v>0</v>
      </c>
    </row>
    <row r="287" spans="1:15" ht="14.25" customHeight="1" outlineLevel="1">
      <c r="A287" s="20" t="s">
        <v>1091</v>
      </c>
      <c r="B287" s="21" t="s">
        <v>1089</v>
      </c>
      <c r="C287" s="22" t="s">
        <v>105</v>
      </c>
      <c r="D287" s="13" t="s">
        <v>41</v>
      </c>
      <c r="E287" s="16">
        <f>100/100</f>
        <v>1</v>
      </c>
      <c r="F287" s="17"/>
      <c r="G287" s="13" t="s">
        <v>23</v>
      </c>
      <c r="H287" s="13" t="s">
        <v>1090</v>
      </c>
      <c r="I287" s="140">
        <f>1.56/4</f>
        <v>0.39</v>
      </c>
      <c r="J287" s="141">
        <v>1.2</v>
      </c>
      <c r="K287" s="138">
        <f>I287*J287</f>
        <v>0.47</v>
      </c>
      <c r="L287" s="141">
        <f>'[5]Раздел №1'!$I$31</f>
        <v>421.4</v>
      </c>
      <c r="M287" s="159">
        <f>K287*L287</f>
        <v>198.1</v>
      </c>
      <c r="N287" s="24">
        <f>E287*F287</f>
        <v>0</v>
      </c>
      <c r="O287" s="7" t="s">
        <v>488</v>
      </c>
    </row>
    <row r="288" spans="1:14" ht="15.75" customHeight="1">
      <c r="A288" s="60" t="s">
        <v>699</v>
      </c>
      <c r="B288" s="21" t="s">
        <v>5</v>
      </c>
      <c r="C288" s="22"/>
      <c r="D288" s="13"/>
      <c r="E288" s="16"/>
      <c r="F288" s="32"/>
      <c r="G288" s="13" t="s">
        <v>23</v>
      </c>
      <c r="H288" s="13" t="s">
        <v>996</v>
      </c>
      <c r="I288" s="138">
        <f>46.4/5*2/100</f>
        <v>0.19</v>
      </c>
      <c r="J288" s="141">
        <v>1.2</v>
      </c>
      <c r="K288" s="138">
        <f>I288*J288</f>
        <v>0.23</v>
      </c>
      <c r="L288" s="141">
        <f>'[5]Раздел №1'!$I$32</f>
        <v>468.7</v>
      </c>
      <c r="M288" s="159">
        <f>K288*L288</f>
        <v>107.8</v>
      </c>
      <c r="N288" s="24">
        <f>SUM(N289:N289)</f>
        <v>0</v>
      </c>
    </row>
    <row r="289" spans="1:15" ht="12.75" customHeight="1" hidden="1" outlineLevel="1">
      <c r="A289" s="20" t="s">
        <v>103</v>
      </c>
      <c r="B289" s="21"/>
      <c r="C289" s="22" t="s">
        <v>106</v>
      </c>
      <c r="D289" s="13" t="s">
        <v>41</v>
      </c>
      <c r="E289" s="16">
        <f>100/100</f>
        <v>1</v>
      </c>
      <c r="F289" s="17"/>
      <c r="G289" s="13"/>
      <c r="H289" s="13" t="s">
        <v>356</v>
      </c>
      <c r="I289" s="140"/>
      <c r="J289" s="140"/>
      <c r="K289" s="140"/>
      <c r="L289" s="141">
        <f>'[5]Раздел №1'!$I$32</f>
        <v>468.7</v>
      </c>
      <c r="M289" s="160"/>
      <c r="N289" s="24">
        <f>E289*F289</f>
        <v>0</v>
      </c>
      <c r="O289" s="7" t="s">
        <v>510</v>
      </c>
    </row>
    <row r="290" spans="1:14" ht="15.75" customHeight="1" collapsed="1">
      <c r="A290" s="20" t="s">
        <v>701</v>
      </c>
      <c r="B290" s="21" t="s">
        <v>412</v>
      </c>
      <c r="C290" s="22"/>
      <c r="D290" s="13"/>
      <c r="E290" s="16"/>
      <c r="F290" s="32"/>
      <c r="G290" s="13" t="s">
        <v>23</v>
      </c>
      <c r="H290" s="13" t="s">
        <v>995</v>
      </c>
      <c r="I290" s="138">
        <f>3.58*0.16</f>
        <v>0.57</v>
      </c>
      <c r="J290" s="141">
        <v>1.2</v>
      </c>
      <c r="K290" s="138">
        <f>I290*J290</f>
        <v>0.68</v>
      </c>
      <c r="L290" s="141">
        <f>'[5]Раздел №1'!$I$32</f>
        <v>468.7</v>
      </c>
      <c r="M290" s="159">
        <f>K290*L290</f>
        <v>318.7</v>
      </c>
      <c r="N290" s="24">
        <v>0</v>
      </c>
    </row>
    <row r="291" spans="1:14" ht="14.25" customHeight="1">
      <c r="A291" s="60" t="s">
        <v>924</v>
      </c>
      <c r="B291" s="21" t="s">
        <v>915</v>
      </c>
      <c r="C291" s="22"/>
      <c r="D291" s="13"/>
      <c r="E291" s="16"/>
      <c r="F291" s="32"/>
      <c r="G291" s="13" t="s">
        <v>23</v>
      </c>
      <c r="H291" s="13" t="s">
        <v>413</v>
      </c>
      <c r="I291" s="138">
        <f>25.72/100</f>
        <v>0.26</v>
      </c>
      <c r="J291" s="141">
        <v>1.2</v>
      </c>
      <c r="K291" s="138">
        <f>I291*J291</f>
        <v>0.31</v>
      </c>
      <c r="L291" s="141">
        <f>'[5]Раздел №1'!$I$32</f>
        <v>468.7</v>
      </c>
      <c r="M291" s="159">
        <f>K291*L291</f>
        <v>145.3</v>
      </c>
      <c r="N291" s="24">
        <v>0</v>
      </c>
    </row>
    <row r="292" spans="1:14" ht="15.75" customHeight="1">
      <c r="A292" s="20" t="s">
        <v>702</v>
      </c>
      <c r="B292" s="21" t="s">
        <v>6</v>
      </c>
      <c r="C292" s="22"/>
      <c r="D292" s="13"/>
      <c r="E292" s="16"/>
      <c r="F292" s="32"/>
      <c r="G292" s="13" t="s">
        <v>23</v>
      </c>
      <c r="H292" s="13" t="s">
        <v>995</v>
      </c>
      <c r="I292" s="138">
        <f>3.58-0.57</f>
        <v>3.01</v>
      </c>
      <c r="J292" s="141">
        <v>1.2</v>
      </c>
      <c r="K292" s="138">
        <f>I292*J292</f>
        <v>3.61</v>
      </c>
      <c r="L292" s="141">
        <f>'[5]Раздел №1'!$I$32</f>
        <v>468.7</v>
      </c>
      <c r="M292" s="159">
        <f>K292*L292</f>
        <v>1692</v>
      </c>
      <c r="N292" s="24">
        <f>SUM(N293:N298)</f>
        <v>301.1</v>
      </c>
    </row>
    <row r="293" spans="1:14" ht="0.75" customHeight="1" hidden="1" outlineLevel="1">
      <c r="A293" s="20"/>
      <c r="B293" s="21"/>
      <c r="C293" s="22" t="s">
        <v>114</v>
      </c>
      <c r="D293" s="13" t="s">
        <v>41</v>
      </c>
      <c r="E293" s="16">
        <f>0.04*100</f>
        <v>4</v>
      </c>
      <c r="F293" s="17">
        <f>3*1.18*1.089*1.096*1.25*1.074*1.118*1.091*1.078*1.08</f>
        <v>8.05</v>
      </c>
      <c r="G293" s="13"/>
      <c r="H293" s="13" t="s">
        <v>110</v>
      </c>
      <c r="I293" s="13"/>
      <c r="J293" s="13"/>
      <c r="K293" s="13"/>
      <c r="L293" s="15">
        <f>'[5]Раздел №1'!$I$32</f>
        <v>468.7</v>
      </c>
      <c r="M293" s="20"/>
      <c r="N293" s="24">
        <f aca="true" t="shared" si="14" ref="N293:N298">E293*F293</f>
        <v>32.2</v>
      </c>
    </row>
    <row r="294" spans="1:15" ht="12.75" customHeight="1" hidden="1" outlineLevel="1">
      <c r="A294" s="20"/>
      <c r="B294" s="21"/>
      <c r="C294" s="22" t="s">
        <v>111</v>
      </c>
      <c r="D294" s="13" t="s">
        <v>33</v>
      </c>
      <c r="E294" s="16">
        <v>0.06</v>
      </c>
      <c r="F294" s="17">
        <f>114.98*1.096*1.25*1.18*1.074*1.118*1.091*1.078*1.08</f>
        <v>283.49</v>
      </c>
      <c r="G294" s="13"/>
      <c r="H294" s="13" t="s">
        <v>110</v>
      </c>
      <c r="I294" s="13"/>
      <c r="J294" s="13"/>
      <c r="K294" s="13"/>
      <c r="L294" s="15">
        <f>'[5]Раздел №1'!$I$32</f>
        <v>468.7</v>
      </c>
      <c r="M294" s="20"/>
      <c r="N294" s="24">
        <f t="shared" si="14"/>
        <v>17</v>
      </c>
      <c r="O294" s="7" t="s">
        <v>511</v>
      </c>
    </row>
    <row r="295" spans="1:15" ht="12.75" customHeight="1" hidden="1" outlineLevel="1">
      <c r="A295" s="20"/>
      <c r="B295" s="21"/>
      <c r="C295" s="22" t="s">
        <v>112</v>
      </c>
      <c r="D295" s="13" t="s">
        <v>33</v>
      </c>
      <c r="E295" s="16">
        <f>0.00416*1000</f>
        <v>4.16</v>
      </c>
      <c r="F295" s="17">
        <f>20915.58/1000*1.096*1.25*1.18*1.074*1.118*1.091*1.078*1.08</f>
        <v>51.57</v>
      </c>
      <c r="G295" s="13"/>
      <c r="H295" s="13" t="s">
        <v>110</v>
      </c>
      <c r="I295" s="13"/>
      <c r="J295" s="13"/>
      <c r="K295" s="15"/>
      <c r="L295" s="15">
        <f>'[5]Раздел №1'!$I$32</f>
        <v>468.7</v>
      </c>
      <c r="M295" s="24"/>
      <c r="N295" s="24">
        <f t="shared" si="14"/>
        <v>214.5</v>
      </c>
      <c r="O295" s="7" t="s">
        <v>514</v>
      </c>
    </row>
    <row r="296" spans="1:15" ht="12.75" customHeight="1" hidden="1" outlineLevel="1">
      <c r="A296" s="20"/>
      <c r="B296" s="21"/>
      <c r="C296" s="22" t="s">
        <v>113</v>
      </c>
      <c r="D296" s="13" t="s">
        <v>33</v>
      </c>
      <c r="E296" s="16">
        <f>0.00058*1000</f>
        <v>0.58</v>
      </c>
      <c r="F296" s="17">
        <f>32035.78/1300*1.18*1.096*1.25*1.074*1.118*1.091*1.078*1.08</f>
        <v>60.76</v>
      </c>
      <c r="G296" s="13"/>
      <c r="H296" s="13" t="s">
        <v>110</v>
      </c>
      <c r="I296" s="13"/>
      <c r="J296" s="13"/>
      <c r="K296" s="15"/>
      <c r="L296" s="15">
        <f>'[5]Раздел №1'!$I$32</f>
        <v>468.7</v>
      </c>
      <c r="M296" s="24"/>
      <c r="N296" s="24">
        <f t="shared" si="14"/>
        <v>35.2</v>
      </c>
      <c r="O296" s="7" t="s">
        <v>494</v>
      </c>
    </row>
    <row r="297" spans="1:15" ht="12.75" customHeight="1" hidden="1" outlineLevel="1">
      <c r="A297" s="20"/>
      <c r="B297" s="21"/>
      <c r="C297" s="22" t="s">
        <v>56</v>
      </c>
      <c r="D297" s="13" t="s">
        <v>33</v>
      </c>
      <c r="E297" s="16">
        <f>0.02</f>
        <v>0.02</v>
      </c>
      <c r="F297" s="17">
        <f>49207.49/1110*1.18*1.096*1.25*1.074*1.118*1.091*1.078*1.08</f>
        <v>109.3</v>
      </c>
      <c r="G297" s="13"/>
      <c r="H297" s="13" t="s">
        <v>110</v>
      </c>
      <c r="I297" s="13"/>
      <c r="J297" s="13"/>
      <c r="K297" s="15"/>
      <c r="L297" s="15">
        <f>'[5]Раздел №1'!$I$32</f>
        <v>468.7</v>
      </c>
      <c r="M297" s="24"/>
      <c r="N297" s="24">
        <f t="shared" si="14"/>
        <v>2.2</v>
      </c>
      <c r="O297" s="7" t="s">
        <v>448</v>
      </c>
    </row>
    <row r="298" spans="1:16" ht="12.75" customHeight="1" hidden="1" outlineLevel="1">
      <c r="A298" s="20"/>
      <c r="B298" s="21"/>
      <c r="C298" s="22" t="s">
        <v>116</v>
      </c>
      <c r="D298" s="13" t="s">
        <v>41</v>
      </c>
      <c r="E298" s="16">
        <v>1</v>
      </c>
      <c r="F298" s="17"/>
      <c r="G298" s="13"/>
      <c r="H298" s="13" t="s">
        <v>50</v>
      </c>
      <c r="I298" s="13"/>
      <c r="J298" s="13"/>
      <c r="K298" s="15"/>
      <c r="L298" s="15">
        <f>'[5]Раздел №1'!$I$32</f>
        <v>468.7</v>
      </c>
      <c r="M298" s="24"/>
      <c r="N298" s="24">
        <f t="shared" si="14"/>
        <v>0</v>
      </c>
      <c r="O298" s="7" t="s">
        <v>518</v>
      </c>
      <c r="P298" s="43"/>
    </row>
    <row r="299" spans="1:14" ht="12.75" customHeight="1" hidden="1">
      <c r="A299" s="20" t="s">
        <v>702</v>
      </c>
      <c r="B299" s="21" t="s">
        <v>7</v>
      </c>
      <c r="C299" s="22"/>
      <c r="D299" s="13"/>
      <c r="E299" s="16"/>
      <c r="F299" s="32"/>
      <c r="G299" s="13" t="s">
        <v>23</v>
      </c>
      <c r="H299" s="13" t="s">
        <v>107</v>
      </c>
      <c r="I299" s="17">
        <f>0.34</f>
        <v>0.34</v>
      </c>
      <c r="J299" s="15">
        <v>1.2</v>
      </c>
      <c r="K299" s="17">
        <f>I299*J299</f>
        <v>0.41</v>
      </c>
      <c r="L299" s="15">
        <f>'[5]Раздел №1'!$I$32</f>
        <v>468.7</v>
      </c>
      <c r="M299" s="24">
        <f>K299*L299</f>
        <v>192.2</v>
      </c>
      <c r="N299" s="24">
        <f>SUM(N300:N301)</f>
        <v>2.2</v>
      </c>
    </row>
    <row r="300" spans="1:15" ht="15.75" customHeight="1" outlineLevel="1">
      <c r="A300" s="20" t="s">
        <v>925</v>
      </c>
      <c r="B300" s="21" t="s">
        <v>914</v>
      </c>
      <c r="C300" s="22"/>
      <c r="D300" s="13"/>
      <c r="E300" s="16"/>
      <c r="F300" s="32"/>
      <c r="G300" s="13" t="s">
        <v>23</v>
      </c>
      <c r="H300" s="100" t="s">
        <v>841</v>
      </c>
      <c r="I300" s="17">
        <v>0.75</v>
      </c>
      <c r="J300" s="15">
        <v>1.2</v>
      </c>
      <c r="K300" s="17">
        <f>I300*J300</f>
        <v>0.9</v>
      </c>
      <c r="L300" s="15">
        <f>'[5]Раздел №1'!$I$32</f>
        <v>468.7</v>
      </c>
      <c r="M300" s="24">
        <f>K300*L300</f>
        <v>421.8</v>
      </c>
      <c r="N300" s="24">
        <f>SUM(N301:N302)</f>
        <v>2.2</v>
      </c>
      <c r="O300" s="7" t="s">
        <v>513</v>
      </c>
    </row>
    <row r="301" spans="1:15" ht="16.5" customHeight="1" hidden="1" outlineLevel="1">
      <c r="A301" s="20" t="s">
        <v>925</v>
      </c>
      <c r="B301" s="21"/>
      <c r="C301" s="22" t="s">
        <v>108</v>
      </c>
      <c r="D301" s="13" t="s">
        <v>41</v>
      </c>
      <c r="E301" s="16">
        <v>1</v>
      </c>
      <c r="F301" s="17"/>
      <c r="G301" s="13"/>
      <c r="H301" s="13" t="s">
        <v>50</v>
      </c>
      <c r="I301" s="13"/>
      <c r="J301" s="13"/>
      <c r="K301" s="13"/>
      <c r="L301" s="15">
        <f>'[5]Раздел №1'!$I$32</f>
        <v>468.7</v>
      </c>
      <c r="M301" s="20"/>
      <c r="N301" s="24">
        <f>E301*F301</f>
        <v>0</v>
      </c>
      <c r="O301" s="7" t="s">
        <v>470</v>
      </c>
    </row>
    <row r="302" spans="1:14" ht="16.5" customHeight="1" hidden="1">
      <c r="A302" s="20" t="s">
        <v>703</v>
      </c>
      <c r="B302" s="21"/>
      <c r="C302" s="22" t="s">
        <v>109</v>
      </c>
      <c r="D302" s="13" t="s">
        <v>33</v>
      </c>
      <c r="E302" s="16">
        <f>0.00003*1000</f>
        <v>0.03</v>
      </c>
      <c r="F302" s="17">
        <f>37050.06/1120*1.18*1.096*1.25*1.074*1.118*1.077*1.08</f>
        <v>74.69</v>
      </c>
      <c r="G302" s="13"/>
      <c r="H302" s="13" t="s">
        <v>110</v>
      </c>
      <c r="I302" s="13"/>
      <c r="J302" s="13"/>
      <c r="K302" s="13"/>
      <c r="L302" s="15">
        <f>'[5]Раздел №1'!$I$32</f>
        <v>468.7</v>
      </c>
      <c r="M302" s="20"/>
      <c r="N302" s="24">
        <f>E302*F302</f>
        <v>2.2</v>
      </c>
    </row>
    <row r="303" spans="1:14" ht="17.25" customHeight="1" hidden="1" outlineLevel="1">
      <c r="A303" s="20" t="s">
        <v>926</v>
      </c>
      <c r="B303" s="21"/>
      <c r="C303" s="22" t="s">
        <v>114</v>
      </c>
      <c r="D303" s="13" t="s">
        <v>41</v>
      </c>
      <c r="E303" s="16">
        <f>3.06/100</f>
        <v>0.031</v>
      </c>
      <c r="F303" s="17">
        <f>3*1.18*1.089*1.096*1.25*1.074*1.118*1.077*1.08</f>
        <v>7.38</v>
      </c>
      <c r="G303" s="13"/>
      <c r="H303" s="13" t="s">
        <v>110</v>
      </c>
      <c r="I303" s="13"/>
      <c r="J303" s="13"/>
      <c r="K303" s="13"/>
      <c r="L303" s="15">
        <f>'[5]Раздел №1'!$I$32</f>
        <v>468.7</v>
      </c>
      <c r="M303" s="20"/>
      <c r="N303" s="24">
        <f aca="true" t="shared" si="15" ref="N303:N309">E303*F303</f>
        <v>0.2</v>
      </c>
    </row>
    <row r="304" spans="1:15" ht="15" customHeight="1" hidden="1" outlineLevel="1">
      <c r="A304" s="20" t="s">
        <v>938</v>
      </c>
      <c r="B304" s="21"/>
      <c r="C304" s="22" t="s">
        <v>63</v>
      </c>
      <c r="D304" s="13" t="s">
        <v>33</v>
      </c>
      <c r="E304" s="16">
        <f>0.00032*1000/100</f>
        <v>0.003</v>
      </c>
      <c r="F304" s="17">
        <f>24426.83/1120*1.096*1.25*1.18*1.074*1.118*1.077*1.08</f>
        <v>49.24</v>
      </c>
      <c r="G304" s="13"/>
      <c r="H304" s="13" t="s">
        <v>110</v>
      </c>
      <c r="I304" s="13"/>
      <c r="J304" s="13"/>
      <c r="K304" s="13"/>
      <c r="L304" s="15">
        <f>'[5]Раздел №1'!$I$32</f>
        <v>468.7</v>
      </c>
      <c r="M304" s="20"/>
      <c r="N304" s="24">
        <f t="shared" si="15"/>
        <v>0.1</v>
      </c>
      <c r="O304" s="7" t="s">
        <v>445</v>
      </c>
    </row>
    <row r="305" spans="1:14" ht="18" customHeight="1" hidden="1" outlineLevel="1">
      <c r="A305" s="20" t="s">
        <v>939</v>
      </c>
      <c r="B305" s="21"/>
      <c r="C305" s="22" t="s">
        <v>118</v>
      </c>
      <c r="D305" s="13" t="s">
        <v>41</v>
      </c>
      <c r="E305" s="16">
        <f>100/100</f>
        <v>1</v>
      </c>
      <c r="F305" s="17">
        <f>45*1.096*1.25*1.18*1.074*1.118*1.077*1.08</f>
        <v>101.6</v>
      </c>
      <c r="G305" s="13"/>
      <c r="H305" s="13" t="s">
        <v>110</v>
      </c>
      <c r="I305" s="13"/>
      <c r="J305" s="13"/>
      <c r="K305" s="15"/>
      <c r="L305" s="15">
        <f>'[5]Раздел №1'!$I$32</f>
        <v>468.7</v>
      </c>
      <c r="M305" s="24"/>
      <c r="N305" s="24">
        <f t="shared" si="15"/>
        <v>101.6</v>
      </c>
    </row>
    <row r="306" spans="1:14" ht="15.75" customHeight="1" hidden="1" outlineLevel="1">
      <c r="A306" s="20" t="s">
        <v>940</v>
      </c>
      <c r="B306" s="21"/>
      <c r="C306" s="22" t="s">
        <v>119</v>
      </c>
      <c r="D306" s="13" t="s">
        <v>121</v>
      </c>
      <c r="E306" s="16">
        <f>40/100</f>
        <v>0.4</v>
      </c>
      <c r="F306" s="17">
        <f>6*1.096*1.25*1.18*1.074*1.118*1.077*1.08</f>
        <v>13.55</v>
      </c>
      <c r="G306" s="13"/>
      <c r="H306" s="13" t="s">
        <v>110</v>
      </c>
      <c r="I306" s="13"/>
      <c r="J306" s="13"/>
      <c r="K306" s="15"/>
      <c r="L306" s="15">
        <f>'[5]Раздел №1'!$I$32</f>
        <v>468.7</v>
      </c>
      <c r="M306" s="24"/>
      <c r="N306" s="24">
        <f t="shared" si="15"/>
        <v>5.4</v>
      </c>
    </row>
    <row r="307" spans="1:14" ht="17.25" customHeight="1" hidden="1" outlineLevel="1">
      <c r="A307" s="20" t="s">
        <v>704</v>
      </c>
      <c r="B307" s="21"/>
      <c r="C307" s="22" t="s">
        <v>120</v>
      </c>
      <c r="D307" s="13" t="s">
        <v>41</v>
      </c>
      <c r="E307" s="16">
        <f>100/100</f>
        <v>1</v>
      </c>
      <c r="F307" s="17">
        <f>6*1.089*1.096*1.25*1.18*1.074*1.118*1.077*1.08</f>
        <v>14.75</v>
      </c>
      <c r="G307" s="13"/>
      <c r="H307" s="13" t="s">
        <v>110</v>
      </c>
      <c r="I307" s="13"/>
      <c r="J307" s="13"/>
      <c r="K307" s="15"/>
      <c r="L307" s="15">
        <f>'[5]Раздел №1'!$I$32</f>
        <v>468.7</v>
      </c>
      <c r="M307" s="24"/>
      <c r="N307" s="24">
        <f t="shared" si="15"/>
        <v>14.8</v>
      </c>
    </row>
    <row r="308" spans="1:14" ht="16.5" customHeight="1" hidden="1" outlineLevel="1">
      <c r="A308" s="20" t="s">
        <v>705</v>
      </c>
      <c r="B308" s="21"/>
      <c r="C308" s="22" t="s">
        <v>122</v>
      </c>
      <c r="D308" s="13" t="s">
        <v>41</v>
      </c>
      <c r="E308" s="16">
        <v>1</v>
      </c>
      <c r="F308" s="17"/>
      <c r="G308" s="13"/>
      <c r="H308" s="13" t="s">
        <v>50</v>
      </c>
      <c r="I308" s="13"/>
      <c r="J308" s="13"/>
      <c r="K308" s="15"/>
      <c r="L308" s="15">
        <f>'[5]Раздел №1'!$I$32</f>
        <v>468.7</v>
      </c>
      <c r="M308" s="24"/>
      <c r="N308" s="24">
        <f t="shared" si="15"/>
        <v>0</v>
      </c>
    </row>
    <row r="309" spans="1:14" ht="15.75" customHeight="1" hidden="1" outlineLevel="1">
      <c r="A309" s="20" t="s">
        <v>706</v>
      </c>
      <c r="B309" s="21"/>
      <c r="C309" s="22" t="s">
        <v>123</v>
      </c>
      <c r="D309" s="13" t="s">
        <v>41</v>
      </c>
      <c r="E309" s="16">
        <v>1</v>
      </c>
      <c r="F309" s="17"/>
      <c r="G309" s="13"/>
      <c r="H309" s="13" t="s">
        <v>50</v>
      </c>
      <c r="I309" s="13"/>
      <c r="J309" s="13"/>
      <c r="K309" s="15"/>
      <c r="L309" s="15">
        <f>'[5]Раздел №1'!$I$32</f>
        <v>468.7</v>
      </c>
      <c r="M309" s="24"/>
      <c r="N309" s="24">
        <f t="shared" si="15"/>
        <v>0</v>
      </c>
    </row>
    <row r="310" spans="1:14" ht="15" customHeight="1" outlineLevel="1">
      <c r="A310" s="20" t="s">
        <v>703</v>
      </c>
      <c r="B310" s="113" t="s">
        <v>916</v>
      </c>
      <c r="C310" s="22"/>
      <c r="D310" s="13"/>
      <c r="E310" s="16"/>
      <c r="F310" s="17"/>
      <c r="G310" s="13" t="s">
        <v>23</v>
      </c>
      <c r="H310" s="100" t="s">
        <v>909</v>
      </c>
      <c r="I310" s="17">
        <v>1.21</v>
      </c>
      <c r="J310" s="15">
        <v>1.2</v>
      </c>
      <c r="K310" s="17">
        <f>I310*J310</f>
        <v>1.45</v>
      </c>
      <c r="L310" s="15">
        <f>'[5]Раздел №1'!$I$32</f>
        <v>468.7</v>
      </c>
      <c r="M310" s="24">
        <f>K310*L310</f>
        <v>679.6</v>
      </c>
      <c r="N310" s="24"/>
    </row>
    <row r="311" spans="1:14" ht="17.25" customHeight="1" outlineLevel="1">
      <c r="A311" s="20" t="s">
        <v>926</v>
      </c>
      <c r="B311" s="113" t="s">
        <v>917</v>
      </c>
      <c r="C311" s="22"/>
      <c r="D311" s="13"/>
      <c r="E311" s="16"/>
      <c r="F311" s="17"/>
      <c r="G311" s="13" t="s">
        <v>23</v>
      </c>
      <c r="H311" s="100" t="s">
        <v>910</v>
      </c>
      <c r="I311" s="17">
        <v>4.83</v>
      </c>
      <c r="J311" s="15">
        <v>1.2</v>
      </c>
      <c r="K311" s="17">
        <f>I311*J311</f>
        <v>5.8</v>
      </c>
      <c r="L311" s="15">
        <f>'[5]Раздел №1'!$I$32</f>
        <v>468.7</v>
      </c>
      <c r="M311" s="24">
        <f>K311*L311</f>
        <v>2718.5</v>
      </c>
      <c r="N311" s="24">
        <f>SUM(N312:N313)</f>
        <v>122.3</v>
      </c>
    </row>
    <row r="312" spans="1:14" ht="17.25" customHeight="1" outlineLevel="1">
      <c r="A312" s="20" t="s">
        <v>938</v>
      </c>
      <c r="B312" s="21" t="s">
        <v>115</v>
      </c>
      <c r="C312" s="22"/>
      <c r="D312" s="13"/>
      <c r="E312" s="16"/>
      <c r="F312" s="32"/>
      <c r="G312" s="13" t="s">
        <v>23</v>
      </c>
      <c r="H312" s="13" t="s">
        <v>117</v>
      </c>
      <c r="I312" s="17">
        <f>76.5/100</f>
        <v>0.77</v>
      </c>
      <c r="J312" s="15">
        <v>1.2</v>
      </c>
      <c r="K312" s="17">
        <f>I312*J312</f>
        <v>0.92</v>
      </c>
      <c r="L312" s="15">
        <f>'[5]Раздел №1'!$I$32</f>
        <v>468.7</v>
      </c>
      <c r="M312" s="24">
        <f>K312*L312</f>
        <v>431.2</v>
      </c>
      <c r="N312" s="24">
        <f>SUM(N313:N319)</f>
        <v>122.1</v>
      </c>
    </row>
    <row r="313" spans="1:14" ht="0.75" customHeight="1" hidden="1" outlineLevel="1">
      <c r="A313" s="20"/>
      <c r="B313" s="21"/>
      <c r="C313" s="22" t="s">
        <v>114</v>
      </c>
      <c r="D313" s="13" t="s">
        <v>41</v>
      </c>
      <c r="E313" s="16">
        <f>3.06/100</f>
        <v>0.031</v>
      </c>
      <c r="F313" s="17">
        <f>3*1.18*1.089*1.096*1.25*1.074*1.118*1.077*1.08</f>
        <v>7.38</v>
      </c>
      <c r="G313" s="13"/>
      <c r="H313" s="13" t="s">
        <v>110</v>
      </c>
      <c r="I313" s="13"/>
      <c r="J313" s="13"/>
      <c r="K313" s="13"/>
      <c r="L313" s="15">
        <f>'[5]Раздел №1'!$I$32</f>
        <v>468.7</v>
      </c>
      <c r="M313" s="20"/>
      <c r="N313" s="24">
        <f aca="true" t="shared" si="16" ref="N313:N319">E313*F313</f>
        <v>0.2</v>
      </c>
    </row>
    <row r="314" spans="1:14" ht="12.75" customHeight="1" hidden="1" outlineLevel="1">
      <c r="A314" s="20"/>
      <c r="B314" s="21"/>
      <c r="C314" s="22" t="s">
        <v>63</v>
      </c>
      <c r="D314" s="13" t="s">
        <v>33</v>
      </c>
      <c r="E314" s="16">
        <f>0.00032*1000/100</f>
        <v>0.003</v>
      </c>
      <c r="F314" s="17">
        <f>24426.83/1120*1.096*1.25*1.18*1.074*1.118*1.077*1.08</f>
        <v>49.24</v>
      </c>
      <c r="G314" s="13"/>
      <c r="H314" s="13" t="s">
        <v>110</v>
      </c>
      <c r="I314" s="13"/>
      <c r="J314" s="13"/>
      <c r="K314" s="13"/>
      <c r="L314" s="15">
        <f>'[5]Раздел №1'!$I$32</f>
        <v>468.7</v>
      </c>
      <c r="M314" s="20"/>
      <c r="N314" s="24">
        <f t="shared" si="16"/>
        <v>0.1</v>
      </c>
    </row>
    <row r="315" spans="1:14" ht="20.25" customHeight="1" hidden="1" outlineLevel="1">
      <c r="A315" s="20"/>
      <c r="B315" s="21"/>
      <c r="C315" s="22" t="s">
        <v>118</v>
      </c>
      <c r="D315" s="13" t="s">
        <v>41</v>
      </c>
      <c r="E315" s="16">
        <f>100/100</f>
        <v>1</v>
      </c>
      <c r="F315" s="17">
        <f>45*1.096*1.25*1.18*1.074*1.118*1.077*1.08</f>
        <v>101.6</v>
      </c>
      <c r="G315" s="13"/>
      <c r="H315" s="13" t="s">
        <v>110</v>
      </c>
      <c r="I315" s="13"/>
      <c r="J315" s="13"/>
      <c r="K315" s="15"/>
      <c r="L315" s="15">
        <f>'[5]Раздел №1'!$I$32</f>
        <v>468.7</v>
      </c>
      <c r="M315" s="24"/>
      <c r="N315" s="24">
        <f t="shared" si="16"/>
        <v>101.6</v>
      </c>
    </row>
    <row r="316" spans="1:14" ht="21" customHeight="1" hidden="1" outlineLevel="1">
      <c r="A316" s="20"/>
      <c r="B316" s="21"/>
      <c r="C316" s="22" t="s">
        <v>119</v>
      </c>
      <c r="D316" s="13" t="s">
        <v>121</v>
      </c>
      <c r="E316" s="16">
        <f>40/100</f>
        <v>0.4</v>
      </c>
      <c r="F316" s="17">
        <f>6*1.096*1.25*1.18*1.074*1.118*1.077*1.08</f>
        <v>13.55</v>
      </c>
      <c r="G316" s="13"/>
      <c r="H316" s="13" t="s">
        <v>110</v>
      </c>
      <c r="I316" s="13"/>
      <c r="J316" s="13"/>
      <c r="K316" s="15"/>
      <c r="L316" s="15">
        <f>'[5]Раздел №1'!$I$32</f>
        <v>468.7</v>
      </c>
      <c r="M316" s="24"/>
      <c r="N316" s="24">
        <f t="shared" si="16"/>
        <v>5.4</v>
      </c>
    </row>
    <row r="317" spans="1:14" ht="12" customHeight="1" hidden="1" outlineLevel="1">
      <c r="A317" s="20"/>
      <c r="B317" s="21"/>
      <c r="C317" s="22" t="s">
        <v>120</v>
      </c>
      <c r="D317" s="13" t="s">
        <v>41</v>
      </c>
      <c r="E317" s="16">
        <f>100/100</f>
        <v>1</v>
      </c>
      <c r="F317" s="17">
        <f>6*1.089*1.096*1.25*1.18*1.074*1.118*1.077*1.08</f>
        <v>14.75</v>
      </c>
      <c r="G317" s="13"/>
      <c r="H317" s="13" t="s">
        <v>110</v>
      </c>
      <c r="I317" s="13"/>
      <c r="J317" s="13"/>
      <c r="K317" s="15"/>
      <c r="L317" s="15">
        <f>'[5]Раздел №1'!$I$32</f>
        <v>468.7</v>
      </c>
      <c r="M317" s="24"/>
      <c r="N317" s="24">
        <f t="shared" si="16"/>
        <v>14.8</v>
      </c>
    </row>
    <row r="318" spans="1:14" ht="15" customHeight="1" hidden="1" outlineLevel="1">
      <c r="A318" s="20"/>
      <c r="B318" s="21"/>
      <c r="C318" s="22" t="s">
        <v>122</v>
      </c>
      <c r="D318" s="13" t="s">
        <v>41</v>
      </c>
      <c r="E318" s="16">
        <v>1</v>
      </c>
      <c r="F318" s="17"/>
      <c r="G318" s="13"/>
      <c r="H318" s="13" t="s">
        <v>50</v>
      </c>
      <c r="I318" s="13"/>
      <c r="J318" s="13"/>
      <c r="K318" s="15"/>
      <c r="L318" s="15">
        <f>'[5]Раздел №1'!$I$32</f>
        <v>468.7</v>
      </c>
      <c r="M318" s="24"/>
      <c r="N318" s="24">
        <f t="shared" si="16"/>
        <v>0</v>
      </c>
    </row>
    <row r="319" spans="1:14" ht="15.75" customHeight="1" hidden="1">
      <c r="A319" s="20"/>
      <c r="B319" s="21"/>
      <c r="C319" s="22" t="s">
        <v>123</v>
      </c>
      <c r="D319" s="13" t="s">
        <v>41</v>
      </c>
      <c r="E319" s="16">
        <v>1</v>
      </c>
      <c r="F319" s="17"/>
      <c r="G319" s="13"/>
      <c r="H319" s="13" t="s">
        <v>50</v>
      </c>
      <c r="I319" s="13"/>
      <c r="J319" s="13"/>
      <c r="K319" s="15"/>
      <c r="L319" s="15">
        <f>'[5]Раздел №1'!$I$32</f>
        <v>468.7</v>
      </c>
      <c r="M319" s="24"/>
      <c r="N319" s="24">
        <f t="shared" si="16"/>
        <v>0</v>
      </c>
    </row>
    <row r="320" spans="1:14" ht="20.25" customHeight="1">
      <c r="A320" s="20" t="s">
        <v>939</v>
      </c>
      <c r="B320" s="21" t="s">
        <v>8</v>
      </c>
      <c r="C320" s="22"/>
      <c r="D320" s="13"/>
      <c r="E320" s="16"/>
      <c r="F320" s="32"/>
      <c r="G320" s="13" t="s">
        <v>124</v>
      </c>
      <c r="H320" s="13" t="s">
        <v>994</v>
      </c>
      <c r="I320" s="138">
        <f>2.82/100</f>
        <v>0.03</v>
      </c>
      <c r="J320" s="141">
        <v>1.2</v>
      </c>
      <c r="K320" s="138">
        <f>I320*J320</f>
        <v>0.04</v>
      </c>
      <c r="L320" s="141">
        <f>'[5]Раздел №1'!$I$32</f>
        <v>468.7</v>
      </c>
      <c r="M320" s="139">
        <f>K320*L320</f>
        <v>18.7</v>
      </c>
      <c r="N320" s="24">
        <f>SUM(N321:N336)</f>
        <v>329</v>
      </c>
    </row>
    <row r="321" spans="1:15" ht="11.25" customHeight="1" hidden="1" outlineLevel="1">
      <c r="A321" s="20"/>
      <c r="B321" s="21"/>
      <c r="C321" s="22" t="s">
        <v>401</v>
      </c>
      <c r="D321" s="13" t="s">
        <v>41</v>
      </c>
      <c r="E321" s="16">
        <f>16.5*10/100</f>
        <v>1.65</v>
      </c>
      <c r="F321" s="17">
        <f>14841.99/1000*1.096*1.25*1.18*1.074*1.118*1.091*1.078*1.077*1.08</f>
        <v>39.41</v>
      </c>
      <c r="G321" s="13"/>
      <c r="H321" s="13" t="s">
        <v>400</v>
      </c>
      <c r="I321" s="13"/>
      <c r="J321" s="13"/>
      <c r="K321" s="13"/>
      <c r="L321" s="15">
        <f>'[5]Раздел №1'!$I$32</f>
        <v>468.7</v>
      </c>
      <c r="M321" s="20"/>
      <c r="N321" s="24">
        <f aca="true" t="shared" si="17" ref="N321:N336">E321*F321</f>
        <v>65</v>
      </c>
      <c r="O321" s="7" t="s">
        <v>502</v>
      </c>
    </row>
    <row r="322" spans="1:15" ht="12.75" customHeight="1" hidden="1" outlineLevel="1">
      <c r="A322" s="20"/>
      <c r="B322" s="21"/>
      <c r="C322" s="22" t="s">
        <v>402</v>
      </c>
      <c r="D322" s="13" t="s">
        <v>33</v>
      </c>
      <c r="E322" s="16">
        <f>0.00065*1000/100</f>
        <v>0.007</v>
      </c>
      <c r="F322" s="17">
        <f>34728.37/1120*1.096*1.25*1.18*1.074*1.118*1.091*1.078*1.077*1.08</f>
        <v>82.34</v>
      </c>
      <c r="G322" s="13"/>
      <c r="H322" s="13" t="s">
        <v>400</v>
      </c>
      <c r="I322" s="13"/>
      <c r="J322" s="13"/>
      <c r="K322" s="13"/>
      <c r="L322" s="15">
        <f>'[5]Раздел №1'!$I$32</f>
        <v>468.7</v>
      </c>
      <c r="M322" s="20"/>
      <c r="N322" s="24">
        <f t="shared" si="17"/>
        <v>0.6</v>
      </c>
      <c r="O322" s="7" t="s">
        <v>483</v>
      </c>
    </row>
    <row r="323" spans="1:14" ht="12.75" customHeight="1" hidden="1" outlineLevel="1">
      <c r="A323" s="20"/>
      <c r="B323" s="21"/>
      <c r="C323" s="22" t="s">
        <v>114</v>
      </c>
      <c r="D323" s="13" t="s">
        <v>41</v>
      </c>
      <c r="E323" s="16">
        <f>2.5*100/100</f>
        <v>2.5</v>
      </c>
      <c r="F323" s="17">
        <f>3*1.18*1.089*1.096*1.25*1.074*1.118*1.091*1.078*1.077*1.08</f>
        <v>8.68</v>
      </c>
      <c r="G323" s="13"/>
      <c r="H323" s="13" t="s">
        <v>400</v>
      </c>
      <c r="I323" s="13"/>
      <c r="J323" s="13"/>
      <c r="K323" s="15"/>
      <c r="L323" s="15">
        <f>'[5]Раздел №1'!$I$32</f>
        <v>468.7</v>
      </c>
      <c r="M323" s="24"/>
      <c r="N323" s="24">
        <f t="shared" si="17"/>
        <v>21.7</v>
      </c>
    </row>
    <row r="324" spans="1:14" ht="12.75" customHeight="1" hidden="1" outlineLevel="1">
      <c r="A324" s="20"/>
      <c r="B324" s="21"/>
      <c r="C324" s="22" t="s">
        <v>403</v>
      </c>
      <c r="D324" s="13" t="s">
        <v>41</v>
      </c>
      <c r="E324" s="16">
        <f>4.5*10/100</f>
        <v>0.45</v>
      </c>
      <c r="F324" s="17">
        <f>10*1.18*1.096*1.25*1.074*1.118*1.091*1.078*1.077*1.08</f>
        <v>26.55</v>
      </c>
      <c r="G324" s="13"/>
      <c r="H324" s="13" t="s">
        <v>400</v>
      </c>
      <c r="I324" s="13"/>
      <c r="J324" s="13"/>
      <c r="K324" s="15"/>
      <c r="L324" s="15">
        <f>'[5]Раздел №1'!$I$32</f>
        <v>468.7</v>
      </c>
      <c r="M324" s="24"/>
      <c r="N324" s="24">
        <f t="shared" si="17"/>
        <v>11.9</v>
      </c>
    </row>
    <row r="325" spans="1:14" ht="12.75" customHeight="1" hidden="1" outlineLevel="1">
      <c r="A325" s="20"/>
      <c r="B325" s="21"/>
      <c r="C325" s="22" t="s">
        <v>404</v>
      </c>
      <c r="D325" s="13" t="s">
        <v>41</v>
      </c>
      <c r="E325" s="16">
        <f>0.83*100/100</f>
        <v>0.83</v>
      </c>
      <c r="F325" s="17">
        <f>20*1.089*1.096*1.25*1.18*1.074*1.118*1.091*1.078*1.077*1.08</f>
        <v>57.83</v>
      </c>
      <c r="G325" s="13"/>
      <c r="H325" s="13" t="s">
        <v>400</v>
      </c>
      <c r="I325" s="13"/>
      <c r="J325" s="13"/>
      <c r="K325" s="15"/>
      <c r="L325" s="15">
        <f>'[5]Раздел №1'!$I$32</f>
        <v>468.7</v>
      </c>
      <c r="M325" s="24"/>
      <c r="N325" s="24">
        <f t="shared" si="17"/>
        <v>48</v>
      </c>
    </row>
    <row r="326" spans="1:15" ht="12.75" customHeight="1" hidden="1" outlineLevel="1">
      <c r="A326" s="20"/>
      <c r="B326" s="21"/>
      <c r="C326" s="22" t="s">
        <v>405</v>
      </c>
      <c r="D326" s="13" t="s">
        <v>33</v>
      </c>
      <c r="E326" s="16">
        <f>0.011*1000/100</f>
        <v>0.11</v>
      </c>
      <c r="F326" s="17">
        <f>22775.83/1000*1.096*1.25*1.18*1.074*1.118*1.091*1.078*1.077*1.08</f>
        <v>60.48</v>
      </c>
      <c r="G326" s="13"/>
      <c r="H326" s="13" t="s">
        <v>400</v>
      </c>
      <c r="I326" s="13"/>
      <c r="J326" s="13"/>
      <c r="K326" s="15"/>
      <c r="L326" s="15">
        <f>'[5]Раздел №1'!$I$32</f>
        <v>468.7</v>
      </c>
      <c r="M326" s="24"/>
      <c r="N326" s="24">
        <f t="shared" si="17"/>
        <v>6.7</v>
      </c>
      <c r="O326" s="7" t="s">
        <v>515</v>
      </c>
    </row>
    <row r="327" spans="1:15" ht="12.75" customHeight="1" hidden="1" outlineLevel="1">
      <c r="A327" s="20"/>
      <c r="B327" s="21"/>
      <c r="C327" s="22" t="s">
        <v>406</v>
      </c>
      <c r="D327" s="13" t="s">
        <v>33</v>
      </c>
      <c r="E327" s="16">
        <f>0.007*1000/100</f>
        <v>0.07</v>
      </c>
      <c r="F327" s="17">
        <f>25855.971/1000*1.096*1.25*1.18*1.074*1.118*1.091*1.078*1.077*1.08</f>
        <v>68.66</v>
      </c>
      <c r="G327" s="13"/>
      <c r="H327" s="13" t="s">
        <v>400</v>
      </c>
      <c r="I327" s="13"/>
      <c r="J327" s="13"/>
      <c r="K327" s="15"/>
      <c r="L327" s="15">
        <f>'[5]Раздел №1'!$I$32</f>
        <v>468.7</v>
      </c>
      <c r="M327" s="24"/>
      <c r="N327" s="24">
        <f t="shared" si="17"/>
        <v>4.8</v>
      </c>
      <c r="O327" s="7" t="s">
        <v>519</v>
      </c>
    </row>
    <row r="328" spans="1:15" ht="12.75" customHeight="1" hidden="1" outlineLevel="1">
      <c r="A328" s="20"/>
      <c r="B328" s="21"/>
      <c r="C328" s="22" t="s">
        <v>407</v>
      </c>
      <c r="D328" s="13" t="s">
        <v>136</v>
      </c>
      <c r="E328" s="16">
        <f>34/100</f>
        <v>0.34</v>
      </c>
      <c r="F328" s="17">
        <f>25024.85/1000*1.096*1.25*1.18*1.074*1.118*1.091*1.078*1.077*1.08</f>
        <v>66.45</v>
      </c>
      <c r="G328" s="13"/>
      <c r="H328" s="13" t="s">
        <v>400</v>
      </c>
      <c r="I328" s="13"/>
      <c r="J328" s="13"/>
      <c r="K328" s="15"/>
      <c r="L328" s="15">
        <f>'[5]Раздел №1'!$I$32</f>
        <v>468.7</v>
      </c>
      <c r="M328" s="24"/>
      <c r="N328" s="24">
        <f t="shared" si="17"/>
        <v>22.6</v>
      </c>
      <c r="O328" s="7" t="s">
        <v>520</v>
      </c>
    </row>
    <row r="329" spans="1:14" ht="12.75" customHeight="1" hidden="1" outlineLevel="1">
      <c r="A329" s="20"/>
      <c r="B329" s="21"/>
      <c r="C329" s="22" t="s">
        <v>408</v>
      </c>
      <c r="D329" s="13" t="s">
        <v>41</v>
      </c>
      <c r="E329" s="16">
        <f>4.5*10/100</f>
        <v>0.45</v>
      </c>
      <c r="F329" s="17">
        <f>16*1.089*1.096*1.25*1.18*1.074*1.118*1.091*1.078*1.077</f>
        <v>42.84</v>
      </c>
      <c r="G329" s="13"/>
      <c r="H329" s="13" t="s">
        <v>400</v>
      </c>
      <c r="I329" s="13"/>
      <c r="J329" s="13"/>
      <c r="K329" s="15"/>
      <c r="L329" s="15">
        <f>'[5]Раздел №1'!$I$32</f>
        <v>468.7</v>
      </c>
      <c r="M329" s="24"/>
      <c r="N329" s="24">
        <f t="shared" si="17"/>
        <v>19.3</v>
      </c>
    </row>
    <row r="330" spans="1:15" ht="12.75" customHeight="1" hidden="1" outlineLevel="1">
      <c r="A330" s="20"/>
      <c r="B330" s="21"/>
      <c r="C330" s="22" t="s">
        <v>409</v>
      </c>
      <c r="D330" s="13" t="s">
        <v>33</v>
      </c>
      <c r="E330" s="16">
        <f>1.75/100</f>
        <v>0.018</v>
      </c>
      <c r="F330" s="17">
        <f>25354.62/1140*1.096*1.25*1.18*1.074*1.118*1.091*1.078*1.077*1.08</f>
        <v>59.06</v>
      </c>
      <c r="G330" s="13"/>
      <c r="H330" s="13" t="s">
        <v>400</v>
      </c>
      <c r="I330" s="13"/>
      <c r="J330" s="13"/>
      <c r="K330" s="15"/>
      <c r="L330" s="15">
        <f>'[5]Раздел №1'!$I$32</f>
        <v>468.7</v>
      </c>
      <c r="M330" s="24"/>
      <c r="N330" s="24">
        <f t="shared" si="17"/>
        <v>1.1</v>
      </c>
      <c r="O330" s="7" t="s">
        <v>500</v>
      </c>
    </row>
    <row r="331" spans="1:14" ht="12.75" customHeight="1" hidden="1" outlineLevel="1">
      <c r="A331" s="20"/>
      <c r="B331" s="21"/>
      <c r="C331" s="22" t="s">
        <v>411</v>
      </c>
      <c r="D331" s="13" t="s">
        <v>136</v>
      </c>
      <c r="E331" s="16">
        <f>0.03*100/100</f>
        <v>0.03</v>
      </c>
      <c r="F331" s="17">
        <f>12*1.089*1.096*1.25*1.18*1.074*1.118*1.091*1.078*1.077*1.08</f>
        <v>34.7</v>
      </c>
      <c r="G331" s="13"/>
      <c r="H331" s="13" t="s">
        <v>400</v>
      </c>
      <c r="I331" s="13"/>
      <c r="J331" s="13"/>
      <c r="K331" s="15"/>
      <c r="L331" s="15">
        <f>'[5]Раздел №1'!$I$32</f>
        <v>468.7</v>
      </c>
      <c r="M331" s="24"/>
      <c r="N331" s="24">
        <f t="shared" si="17"/>
        <v>1</v>
      </c>
    </row>
    <row r="332" spans="1:14" ht="12.75" customHeight="1" hidden="1" outlineLevel="1">
      <c r="A332" s="20"/>
      <c r="B332" s="21"/>
      <c r="C332" s="22" t="s">
        <v>410</v>
      </c>
      <c r="D332" s="13" t="s">
        <v>41</v>
      </c>
      <c r="E332" s="16">
        <f>0.00204*1000/100</f>
        <v>0.02</v>
      </c>
      <c r="F332" s="17">
        <f>10*1.18*1.089*1.096*1.25*1.074*1.118*1.091*1.078*1.077*1.08</f>
        <v>28.92</v>
      </c>
      <c r="G332" s="13"/>
      <c r="H332" s="13" t="s">
        <v>400</v>
      </c>
      <c r="I332" s="13"/>
      <c r="J332" s="13"/>
      <c r="K332" s="15"/>
      <c r="L332" s="15">
        <f>'[5]Раздел №1'!$I$32</f>
        <v>468.7</v>
      </c>
      <c r="M332" s="24"/>
      <c r="N332" s="24">
        <f t="shared" si="17"/>
        <v>0.6</v>
      </c>
    </row>
    <row r="333" spans="1:14" ht="12.75" customHeight="1" hidden="1" outlineLevel="1">
      <c r="A333" s="20"/>
      <c r="B333" s="21"/>
      <c r="C333" s="22" t="s">
        <v>134</v>
      </c>
      <c r="D333" s="13" t="s">
        <v>41</v>
      </c>
      <c r="E333" s="16">
        <f>24.4/100</f>
        <v>0.244</v>
      </c>
      <c r="F333" s="17">
        <f>5*1.089*1.07*1.18*1.096*1.25*1.074*1.118*1.091*1.078*1.077*1.08</f>
        <v>15.47</v>
      </c>
      <c r="G333" s="13"/>
      <c r="H333" s="13" t="s">
        <v>400</v>
      </c>
      <c r="I333" s="13"/>
      <c r="J333" s="13"/>
      <c r="K333" s="15"/>
      <c r="L333" s="15">
        <f>'[5]Раздел №1'!$I$32</f>
        <v>468.7</v>
      </c>
      <c r="M333" s="24"/>
      <c r="N333" s="24">
        <f t="shared" si="17"/>
        <v>3.8</v>
      </c>
    </row>
    <row r="334" spans="1:14" ht="12.75" customHeight="1" hidden="1" outlineLevel="1">
      <c r="A334" s="20"/>
      <c r="B334" s="21"/>
      <c r="C334" s="22" t="s">
        <v>1038</v>
      </c>
      <c r="D334" s="13" t="s">
        <v>136</v>
      </c>
      <c r="E334" s="16">
        <v>1</v>
      </c>
      <c r="F334" s="17">
        <f>58.47*1.18*1.078*1.077*1.08</f>
        <v>86.51</v>
      </c>
      <c r="G334" s="13"/>
      <c r="H334" s="13" t="s">
        <v>950</v>
      </c>
      <c r="I334" s="13"/>
      <c r="J334" s="13"/>
      <c r="K334" s="15"/>
      <c r="L334" s="15">
        <f>'[5]Раздел №1'!$I$32</f>
        <v>468.7</v>
      </c>
      <c r="M334" s="24"/>
      <c r="N334" s="24">
        <f t="shared" si="17"/>
        <v>86.5</v>
      </c>
    </row>
    <row r="335" spans="1:14" ht="12.75" customHeight="1" hidden="1" outlineLevel="1">
      <c r="A335" s="20"/>
      <c r="B335" s="21"/>
      <c r="C335" s="22" t="s">
        <v>951</v>
      </c>
      <c r="D335" s="13" t="s">
        <v>41</v>
      </c>
      <c r="E335" s="16">
        <v>1</v>
      </c>
      <c r="F335" s="17">
        <f>23.56*1.18*1.078*1.077*1.08</f>
        <v>34.86</v>
      </c>
      <c r="G335" s="13"/>
      <c r="H335" s="13" t="s">
        <v>952</v>
      </c>
      <c r="I335" s="13"/>
      <c r="J335" s="13"/>
      <c r="K335" s="15"/>
      <c r="L335" s="15">
        <f>'[5]Раздел №1'!$I$32</f>
        <v>468.7</v>
      </c>
      <c r="M335" s="24"/>
      <c r="N335" s="24">
        <f t="shared" si="17"/>
        <v>34.9</v>
      </c>
    </row>
    <row r="336" spans="1:15" ht="13.5" customHeight="1" hidden="1" outlineLevel="1">
      <c r="A336" s="20"/>
      <c r="B336" s="21"/>
      <c r="C336" s="22" t="s">
        <v>56</v>
      </c>
      <c r="D336" s="13" t="s">
        <v>33</v>
      </c>
      <c r="E336" s="16">
        <f>0.4/100</f>
        <v>0.004</v>
      </c>
      <c r="F336" s="17">
        <f>49207.49/1110*1.18*1.096*1.25*1.074*1.118*1.091*1.078*1.077*1.08</f>
        <v>117.72</v>
      </c>
      <c r="G336" s="13"/>
      <c r="H336" s="13" t="s">
        <v>400</v>
      </c>
      <c r="I336" s="13"/>
      <c r="J336" s="13"/>
      <c r="K336" s="15"/>
      <c r="L336" s="15">
        <f>'[5]Раздел №1'!$I$32</f>
        <v>468.7</v>
      </c>
      <c r="M336" s="24"/>
      <c r="N336" s="24">
        <f t="shared" si="17"/>
        <v>0.5</v>
      </c>
      <c r="O336" s="7" t="s">
        <v>448</v>
      </c>
    </row>
    <row r="337" spans="1:14" ht="24.75" customHeight="1" hidden="1" collapsed="1">
      <c r="A337" s="20" t="s">
        <v>939</v>
      </c>
      <c r="B337" s="21" t="s">
        <v>129</v>
      </c>
      <c r="C337" s="22"/>
      <c r="D337" s="13"/>
      <c r="E337" s="16"/>
      <c r="F337" s="32"/>
      <c r="G337" s="13" t="s">
        <v>124</v>
      </c>
      <c r="H337" s="13" t="s">
        <v>125</v>
      </c>
      <c r="I337" s="17">
        <f>0.05</f>
        <v>0.05</v>
      </c>
      <c r="J337" s="15">
        <v>1</v>
      </c>
      <c r="K337" s="17">
        <f>I337*J337</f>
        <v>0.05</v>
      </c>
      <c r="L337" s="15">
        <f>'[5]Раздел №1'!$I$32</f>
        <v>468.7</v>
      </c>
      <c r="M337" s="24">
        <f>K337*L337</f>
        <v>23.4</v>
      </c>
      <c r="N337" s="24">
        <f>SUM(N338:N339)</f>
        <v>5.8</v>
      </c>
    </row>
    <row r="338" spans="1:15" ht="11.25" customHeight="1" hidden="1" outlineLevel="1">
      <c r="A338" s="20"/>
      <c r="B338" s="21"/>
      <c r="C338" s="22" t="s">
        <v>126</v>
      </c>
      <c r="D338" s="13" t="s">
        <v>33</v>
      </c>
      <c r="E338" s="16">
        <f>0.2/100</f>
        <v>0.002</v>
      </c>
      <c r="F338" s="17">
        <f>114.98*1.096*1.25*1.18*1.074*1.118*1.091*1.078*1.077*1.08</f>
        <v>305.32</v>
      </c>
      <c r="G338" s="13"/>
      <c r="H338" s="13" t="s">
        <v>125</v>
      </c>
      <c r="I338" s="13"/>
      <c r="J338" s="13"/>
      <c r="K338" s="15"/>
      <c r="L338" s="15">
        <f>'[5]Раздел №1'!$I$32</f>
        <v>468.7</v>
      </c>
      <c r="M338" s="24"/>
      <c r="N338" s="24">
        <f>E338*F338</f>
        <v>0.6</v>
      </c>
      <c r="O338" s="7" t="s">
        <v>512</v>
      </c>
    </row>
    <row r="339" spans="1:14" ht="11.25" customHeight="1" hidden="1" outlineLevel="1">
      <c r="A339" s="20"/>
      <c r="B339" s="21"/>
      <c r="C339" s="22" t="s">
        <v>127</v>
      </c>
      <c r="D339" s="13" t="s">
        <v>33</v>
      </c>
      <c r="E339" s="16">
        <f>5/100</f>
        <v>0.05</v>
      </c>
      <c r="F339" s="17">
        <f>39175.76/1000*1.18*1.096*1.25*1.074*1.118*1.091*1.078*1.077*1.08</f>
        <v>104.03</v>
      </c>
      <c r="G339" s="13"/>
      <c r="H339" s="13" t="s">
        <v>140</v>
      </c>
      <c r="I339" s="13"/>
      <c r="J339" s="13"/>
      <c r="K339" s="15"/>
      <c r="L339" s="15">
        <f>'[5]Раздел №1'!$I$32</f>
        <v>468.7</v>
      </c>
      <c r="M339" s="24"/>
      <c r="N339" s="24">
        <f>E339*F339</f>
        <v>5.2</v>
      </c>
    </row>
    <row r="340" spans="1:14" ht="27.75" customHeight="1" collapsed="1">
      <c r="A340" s="126" t="s">
        <v>988</v>
      </c>
      <c r="B340" s="21" t="s">
        <v>137</v>
      </c>
      <c r="C340" s="22"/>
      <c r="D340" s="13"/>
      <c r="E340" s="16"/>
      <c r="F340" s="32"/>
      <c r="G340" s="13" t="s">
        <v>124</v>
      </c>
      <c r="H340" s="13" t="s">
        <v>128</v>
      </c>
      <c r="I340" s="17">
        <v>0.2</v>
      </c>
      <c r="J340" s="15">
        <v>1</v>
      </c>
      <c r="K340" s="17">
        <f>I340*J340</f>
        <v>0.2</v>
      </c>
      <c r="L340" s="15">
        <f>'[5]Раздел №1'!$I$32</f>
        <v>468.7</v>
      </c>
      <c r="M340" s="24">
        <f>K340*L340</f>
        <v>93.7</v>
      </c>
      <c r="N340" s="24">
        <f>SUM(N341:N345)</f>
        <v>84</v>
      </c>
    </row>
    <row r="341" spans="1:15" ht="12" customHeight="1" hidden="1" outlineLevel="1">
      <c r="A341" s="126" t="s">
        <v>988</v>
      </c>
      <c r="B341" s="21"/>
      <c r="C341" s="22" t="s">
        <v>130</v>
      </c>
      <c r="D341" s="13" t="s">
        <v>136</v>
      </c>
      <c r="E341" s="16">
        <v>1.02</v>
      </c>
      <c r="F341" s="17">
        <f>7556.67/1000*1.096*1.25*1.18*1.074*1.118*1.078*1.077*1.08</f>
        <v>18.39</v>
      </c>
      <c r="G341" s="13"/>
      <c r="H341" s="13" t="s">
        <v>141</v>
      </c>
      <c r="I341" s="13"/>
      <c r="J341" s="13"/>
      <c r="K341" s="15"/>
      <c r="L341" s="15">
        <f>'[5]Раздел №1'!$I$32</f>
        <v>468.7</v>
      </c>
      <c r="M341" s="24"/>
      <c r="N341" s="24">
        <f>E341*F341</f>
        <v>18.8</v>
      </c>
      <c r="O341" s="7" t="s">
        <v>528</v>
      </c>
    </row>
    <row r="342" spans="1:15" ht="11.25" customHeight="1" hidden="1" outlineLevel="1">
      <c r="A342" s="126" t="s">
        <v>989</v>
      </c>
      <c r="B342" s="21"/>
      <c r="C342" s="22" t="s">
        <v>133</v>
      </c>
      <c r="D342" s="13" t="s">
        <v>33</v>
      </c>
      <c r="E342" s="16">
        <v>0.011</v>
      </c>
      <c r="F342" s="17">
        <f>58835.06/1010*1.096*1.25*1.18*1.074*1.118*1.091*1.078*1.077*1.08</f>
        <v>154.68</v>
      </c>
      <c r="G342" s="13"/>
      <c r="H342" s="13" t="s">
        <v>141</v>
      </c>
      <c r="I342" s="13"/>
      <c r="J342" s="13"/>
      <c r="K342" s="15"/>
      <c r="L342" s="15">
        <f>'[5]Раздел №1'!$I$32</f>
        <v>468.7</v>
      </c>
      <c r="M342" s="24"/>
      <c r="N342" s="24">
        <f>E342*F342</f>
        <v>1.7</v>
      </c>
      <c r="O342" s="7" t="s">
        <v>517</v>
      </c>
    </row>
    <row r="343" spans="1:14" ht="11.25" customHeight="1" hidden="1" outlineLevel="1">
      <c r="A343" s="126" t="s">
        <v>990</v>
      </c>
      <c r="B343" s="21"/>
      <c r="C343" s="22" t="s">
        <v>134</v>
      </c>
      <c r="D343" s="13" t="s">
        <v>41</v>
      </c>
      <c r="E343" s="16">
        <v>0.122</v>
      </c>
      <c r="F343" s="17">
        <f>5*1.089*1.07*1.18*1.096*1.25*1.074*1.118*1.091*1.078*1.077*1.08</f>
        <v>15.47</v>
      </c>
      <c r="G343" s="13"/>
      <c r="H343" s="13" t="s">
        <v>141</v>
      </c>
      <c r="I343" s="13"/>
      <c r="J343" s="13"/>
      <c r="K343" s="15"/>
      <c r="L343" s="15">
        <f>'[5]Раздел №1'!$I$32</f>
        <v>468.7</v>
      </c>
      <c r="M343" s="24"/>
      <c r="N343" s="24">
        <f>E343*F343</f>
        <v>1.9</v>
      </c>
    </row>
    <row r="344" spans="1:15" ht="11.25" customHeight="1" hidden="1" outlineLevel="1">
      <c r="A344" s="126" t="s">
        <v>991</v>
      </c>
      <c r="B344" s="21"/>
      <c r="C344" s="22" t="s">
        <v>126</v>
      </c>
      <c r="D344" s="13" t="s">
        <v>33</v>
      </c>
      <c r="E344" s="16">
        <v>0.2</v>
      </c>
      <c r="F344" s="17">
        <f>114.98*1.096*1.25*1.18*1.074*1.118*1.091*1.078*1.077*1.08</f>
        <v>305.32</v>
      </c>
      <c r="G344" s="13"/>
      <c r="H344" s="13" t="s">
        <v>141</v>
      </c>
      <c r="I344" s="13"/>
      <c r="J344" s="13"/>
      <c r="K344" s="15"/>
      <c r="L344" s="15">
        <f>'[5]Раздел №1'!$I$32</f>
        <v>468.7</v>
      </c>
      <c r="M344" s="24"/>
      <c r="N344" s="24">
        <f>E344*F344</f>
        <v>61.1</v>
      </c>
      <c r="O344" s="7" t="s">
        <v>512</v>
      </c>
    </row>
    <row r="345" spans="1:14" ht="11.25" customHeight="1" hidden="1" outlineLevel="1">
      <c r="A345" s="126" t="s">
        <v>992</v>
      </c>
      <c r="B345" s="21"/>
      <c r="C345" s="22" t="s">
        <v>135</v>
      </c>
      <c r="D345" s="13" t="s">
        <v>41</v>
      </c>
      <c r="E345" s="16">
        <v>0.061</v>
      </c>
      <c r="F345" s="17">
        <f>2.8*1.096*1.25*1.18*1.074*1.118*1.091*1.078*1.077*1.08</f>
        <v>7.44</v>
      </c>
      <c r="G345" s="13"/>
      <c r="H345" s="13" t="s">
        <v>141</v>
      </c>
      <c r="I345" s="13"/>
      <c r="J345" s="13"/>
      <c r="K345" s="15"/>
      <c r="L345" s="15">
        <f>'[5]Раздел №1'!$I$32</f>
        <v>468.7</v>
      </c>
      <c r="M345" s="24"/>
      <c r="N345" s="24">
        <f>E345*F345</f>
        <v>0.5</v>
      </c>
    </row>
    <row r="346" spans="1:18" ht="26.25" customHeight="1" collapsed="1">
      <c r="A346" s="142" t="s">
        <v>989</v>
      </c>
      <c r="B346" s="21" t="s">
        <v>138</v>
      </c>
      <c r="C346" s="22"/>
      <c r="D346" s="13"/>
      <c r="E346" s="16"/>
      <c r="F346" s="32"/>
      <c r="G346" s="13" t="s">
        <v>124</v>
      </c>
      <c r="H346" s="13" t="s">
        <v>139</v>
      </c>
      <c r="I346" s="17">
        <v>0.25</v>
      </c>
      <c r="J346" s="15">
        <v>1</v>
      </c>
      <c r="K346" s="17">
        <f>I346*J346</f>
        <v>0.25</v>
      </c>
      <c r="L346" s="15">
        <f>'[5]Раздел №1'!$I$32</f>
        <v>468.7</v>
      </c>
      <c r="M346" s="24">
        <f>K346*L346</f>
        <v>117.2</v>
      </c>
      <c r="N346" s="24">
        <f>SUM(N347:N351)</f>
        <v>85.7</v>
      </c>
      <c r="R346" s="2" t="s">
        <v>103</v>
      </c>
    </row>
    <row r="347" spans="1:15" ht="11.25" customHeight="1" hidden="1" outlineLevel="1">
      <c r="A347" s="126" t="s">
        <v>989</v>
      </c>
      <c r="B347" s="21"/>
      <c r="C347" s="22" t="s">
        <v>130</v>
      </c>
      <c r="D347" s="13" t="s">
        <v>136</v>
      </c>
      <c r="E347" s="16">
        <v>1.02</v>
      </c>
      <c r="F347" s="17">
        <f>7556.67/1000*1.096*1.25*1.18*1.074*1.118*1.091*1.078*1.077*1.08</f>
        <v>20.07</v>
      </c>
      <c r="G347" s="13"/>
      <c r="H347" s="13" t="s">
        <v>141</v>
      </c>
      <c r="I347" s="13"/>
      <c r="J347" s="13"/>
      <c r="K347" s="15"/>
      <c r="L347" s="15">
        <f>'[5]Раздел №1'!$I$32</f>
        <v>468.7</v>
      </c>
      <c r="M347" s="24"/>
      <c r="N347" s="24">
        <f>E347*F347</f>
        <v>20.5</v>
      </c>
      <c r="O347" s="7" t="s">
        <v>528</v>
      </c>
    </row>
    <row r="348" spans="1:15" ht="11.25" customHeight="1" hidden="1" outlineLevel="1">
      <c r="A348" s="126" t="s">
        <v>990</v>
      </c>
      <c r="B348" s="21"/>
      <c r="C348" s="22" t="s">
        <v>133</v>
      </c>
      <c r="D348" s="13" t="s">
        <v>33</v>
      </c>
      <c r="E348" s="16">
        <v>0.011</v>
      </c>
      <c r="F348" s="17">
        <f>58835.06/1010*1.096*1.25*1.18*1.074*1.118*1.091*1.078*1.077*1.08</f>
        <v>154.68</v>
      </c>
      <c r="G348" s="13"/>
      <c r="H348" s="13" t="s">
        <v>141</v>
      </c>
      <c r="I348" s="13"/>
      <c r="J348" s="13"/>
      <c r="K348" s="15"/>
      <c r="L348" s="15">
        <f>'[5]Раздел №1'!$I$32</f>
        <v>468.7</v>
      </c>
      <c r="M348" s="24"/>
      <c r="N348" s="24">
        <f>E348*F348</f>
        <v>1.7</v>
      </c>
      <c r="O348" s="7" t="s">
        <v>517</v>
      </c>
    </row>
    <row r="349" spans="1:14" ht="11.25" customHeight="1" hidden="1" outlineLevel="1">
      <c r="A349" s="126" t="s">
        <v>991</v>
      </c>
      <c r="B349" s="21"/>
      <c r="C349" s="22" t="s">
        <v>134</v>
      </c>
      <c r="D349" s="13" t="s">
        <v>41</v>
      </c>
      <c r="E349" s="16">
        <v>0.122</v>
      </c>
      <c r="F349" s="17">
        <f>5*1.089*1.07*1.18*1.096*1.25*1.074*1.118*1.091*1.078*1.077*1.08</f>
        <v>15.47</v>
      </c>
      <c r="G349" s="13"/>
      <c r="H349" s="13" t="s">
        <v>141</v>
      </c>
      <c r="I349" s="13"/>
      <c r="J349" s="13"/>
      <c r="K349" s="15"/>
      <c r="L349" s="15">
        <f>'[5]Раздел №1'!$I$32</f>
        <v>468.7</v>
      </c>
      <c r="M349" s="24"/>
      <c r="N349" s="24">
        <f>E349*F349</f>
        <v>1.9</v>
      </c>
    </row>
    <row r="350" spans="1:15" ht="11.25" customHeight="1" hidden="1" outlineLevel="1">
      <c r="A350" s="126" t="s">
        <v>992</v>
      </c>
      <c r="B350" s="21"/>
      <c r="C350" s="22" t="s">
        <v>126</v>
      </c>
      <c r="D350" s="13" t="s">
        <v>33</v>
      </c>
      <c r="E350" s="16">
        <v>0.2</v>
      </c>
      <c r="F350" s="17">
        <f>114.98*1.096*1.25*1.18*1.074*1.118*1.091*1.078*1.077*1.08</f>
        <v>305.32</v>
      </c>
      <c r="G350" s="13"/>
      <c r="H350" s="13" t="s">
        <v>141</v>
      </c>
      <c r="I350" s="13"/>
      <c r="J350" s="13"/>
      <c r="K350" s="15"/>
      <c r="L350" s="15">
        <f>'[5]Раздел №1'!$I$32</f>
        <v>468.7</v>
      </c>
      <c r="M350" s="24"/>
      <c r="N350" s="24">
        <f>E350*F350</f>
        <v>61.1</v>
      </c>
      <c r="O350" s="7" t="s">
        <v>512</v>
      </c>
    </row>
    <row r="351" spans="1:14" ht="11.25" customHeight="1" hidden="1" outlineLevel="1">
      <c r="A351" s="126" t="s">
        <v>993</v>
      </c>
      <c r="B351" s="21"/>
      <c r="C351" s="22" t="s">
        <v>135</v>
      </c>
      <c r="D351" s="13" t="s">
        <v>41</v>
      </c>
      <c r="E351" s="16">
        <v>0.061</v>
      </c>
      <c r="F351" s="17">
        <f>2.8*1.096*1.25*1.18*1.074*1.118*1.091*1.078*1.077*1.08</f>
        <v>7.44</v>
      </c>
      <c r="G351" s="13"/>
      <c r="H351" s="13" t="s">
        <v>141</v>
      </c>
      <c r="I351" s="13"/>
      <c r="J351" s="13"/>
      <c r="K351" s="15"/>
      <c r="L351" s="15">
        <f>'[5]Раздел №1'!$I$32</f>
        <v>468.7</v>
      </c>
      <c r="M351" s="24"/>
      <c r="N351" s="24">
        <f>E351*F351</f>
        <v>0.5</v>
      </c>
    </row>
    <row r="352" spans="1:14" ht="18.75" customHeight="1" collapsed="1">
      <c r="A352" s="126" t="s">
        <v>990</v>
      </c>
      <c r="B352" s="21" t="s">
        <v>9</v>
      </c>
      <c r="C352" s="22"/>
      <c r="D352" s="13"/>
      <c r="E352" s="16"/>
      <c r="F352" s="32"/>
      <c r="G352" s="13" t="s">
        <v>23</v>
      </c>
      <c r="H352" s="13" t="s">
        <v>142</v>
      </c>
      <c r="I352" s="17">
        <f>5.84/100</f>
        <v>0.06</v>
      </c>
      <c r="J352" s="15">
        <v>1</v>
      </c>
      <c r="K352" s="17">
        <f>I352*J352</f>
        <v>0.06</v>
      </c>
      <c r="L352" s="15">
        <f>'[5]Раздел №1'!$I$32</f>
        <v>468.7</v>
      </c>
      <c r="M352" s="24">
        <f>K352*L352</f>
        <v>28.1</v>
      </c>
      <c r="N352" s="24">
        <v>0</v>
      </c>
    </row>
    <row r="353" spans="1:14" ht="12.75" customHeight="1" hidden="1">
      <c r="A353" s="126" t="s">
        <v>990</v>
      </c>
      <c r="B353" s="21"/>
      <c r="C353" s="22"/>
      <c r="D353" s="13"/>
      <c r="E353" s="16"/>
      <c r="F353" s="32"/>
      <c r="G353" s="13"/>
      <c r="H353" s="13"/>
      <c r="I353" s="17"/>
      <c r="J353" s="15"/>
      <c r="K353" s="17"/>
      <c r="L353" s="15">
        <f>'[5]Раздел №1'!$I$32</f>
        <v>468.7</v>
      </c>
      <c r="M353" s="24"/>
      <c r="N353" s="24"/>
    </row>
    <row r="354" spans="1:14" ht="18" customHeight="1">
      <c r="A354" s="126" t="s">
        <v>991</v>
      </c>
      <c r="B354" s="21" t="s">
        <v>579</v>
      </c>
      <c r="C354" s="22"/>
      <c r="D354" s="13"/>
      <c r="E354" s="16"/>
      <c r="F354" s="32"/>
      <c r="G354" s="13" t="s">
        <v>559</v>
      </c>
      <c r="H354" s="13" t="s">
        <v>580</v>
      </c>
      <c r="I354" s="17">
        <f>7.1/100</f>
        <v>0.07</v>
      </c>
      <c r="J354" s="15">
        <v>1</v>
      </c>
      <c r="K354" s="17">
        <f>I354*J354</f>
        <v>0.07</v>
      </c>
      <c r="L354" s="15">
        <f>'[5]Раздел №1'!$I$32</f>
        <v>468.7</v>
      </c>
      <c r="M354" s="24">
        <f>K354*L354</f>
        <v>32.8</v>
      </c>
      <c r="N354" s="24"/>
    </row>
    <row r="355" spans="1:14" ht="18" customHeight="1">
      <c r="A355" s="20" t="s">
        <v>707</v>
      </c>
      <c r="B355" s="21" t="s">
        <v>582</v>
      </c>
      <c r="C355" s="22"/>
      <c r="D355" s="13"/>
      <c r="E355" s="16"/>
      <c r="F355" s="32"/>
      <c r="G355" s="13" t="s">
        <v>559</v>
      </c>
      <c r="H355" s="13" t="s">
        <v>581</v>
      </c>
      <c r="I355" s="17">
        <f>13.9/100</f>
        <v>0.14</v>
      </c>
      <c r="J355" s="15">
        <v>1</v>
      </c>
      <c r="K355" s="17">
        <f>I355*J355</f>
        <v>0.14</v>
      </c>
      <c r="L355" s="15">
        <f>'[5]Раздел №1'!$I$32</f>
        <v>468.7</v>
      </c>
      <c r="M355" s="24">
        <f>K355*L355</f>
        <v>65.6</v>
      </c>
      <c r="N355" s="24"/>
    </row>
    <row r="356" spans="1:14" ht="3" customHeight="1" hidden="1">
      <c r="A356" s="20"/>
      <c r="B356" s="21"/>
      <c r="C356" s="22"/>
      <c r="D356" s="13"/>
      <c r="E356" s="16"/>
      <c r="F356" s="32"/>
      <c r="G356" s="13"/>
      <c r="H356" s="13"/>
      <c r="I356" s="17"/>
      <c r="J356" s="15"/>
      <c r="K356" s="17"/>
      <c r="L356" s="15">
        <f>'[5]Раздел №1'!$I$32</f>
        <v>468.7</v>
      </c>
      <c r="M356" s="24"/>
      <c r="N356" s="24"/>
    </row>
    <row r="357" spans="1:14" ht="16.5" customHeight="1">
      <c r="A357" s="20" t="s">
        <v>708</v>
      </c>
      <c r="B357" s="21" t="s">
        <v>583</v>
      </c>
      <c r="C357" s="22"/>
      <c r="D357" s="13"/>
      <c r="E357" s="16"/>
      <c r="F357" s="32"/>
      <c r="G357" s="13" t="s">
        <v>559</v>
      </c>
      <c r="H357" s="13" t="s">
        <v>584</v>
      </c>
      <c r="I357" s="17">
        <f>89.1/100</f>
        <v>0.89</v>
      </c>
      <c r="J357" s="15">
        <v>1</v>
      </c>
      <c r="K357" s="17">
        <f>I357*J357</f>
        <v>0.89</v>
      </c>
      <c r="L357" s="15">
        <f>'[5]Раздел №1'!$I$32</f>
        <v>468.7</v>
      </c>
      <c r="M357" s="24">
        <f>K357*L357</f>
        <v>417.1</v>
      </c>
      <c r="N357" s="24"/>
    </row>
    <row r="358" spans="1:14" ht="18.75" customHeight="1">
      <c r="A358" s="20" t="s">
        <v>927</v>
      </c>
      <c r="B358" s="21" t="s">
        <v>586</v>
      </c>
      <c r="C358" s="22"/>
      <c r="D358" s="13"/>
      <c r="E358" s="16"/>
      <c r="F358" s="32"/>
      <c r="G358" s="13" t="s">
        <v>559</v>
      </c>
      <c r="H358" s="13" t="s">
        <v>585</v>
      </c>
      <c r="I358" s="17">
        <f>163.3/100</f>
        <v>1.63</v>
      </c>
      <c r="J358" s="15">
        <v>1</v>
      </c>
      <c r="K358" s="17">
        <f>I358*J358</f>
        <v>1.63</v>
      </c>
      <c r="L358" s="15">
        <f>'[5]Раздел №1'!$I$32</f>
        <v>468.7</v>
      </c>
      <c r="M358" s="24">
        <f>K358*L358</f>
        <v>764</v>
      </c>
      <c r="N358" s="24"/>
    </row>
    <row r="359" spans="1:14" ht="15" customHeight="1">
      <c r="A359" s="20" t="s">
        <v>928</v>
      </c>
      <c r="B359" s="21" t="s">
        <v>987</v>
      </c>
      <c r="C359" s="22"/>
      <c r="D359" s="13"/>
      <c r="E359" s="16"/>
      <c r="F359" s="32"/>
      <c r="G359" s="13" t="s">
        <v>587</v>
      </c>
      <c r="H359" s="13" t="s">
        <v>588</v>
      </c>
      <c r="I359" s="17">
        <f>5.49/100</f>
        <v>0.05</v>
      </c>
      <c r="J359" s="15">
        <v>1</v>
      </c>
      <c r="K359" s="17">
        <f>I359*J359</f>
        <v>0.05</v>
      </c>
      <c r="L359" s="15">
        <f>'[5]Раздел №1'!$I$32</f>
        <v>468.7</v>
      </c>
      <c r="M359" s="24">
        <f>K359*L359</f>
        <v>23.4</v>
      </c>
      <c r="N359" s="24"/>
    </row>
    <row r="360" spans="1:14" ht="15" customHeight="1" hidden="1">
      <c r="A360" s="20" t="s">
        <v>929</v>
      </c>
      <c r="B360" s="111" t="s">
        <v>919</v>
      </c>
      <c r="C360" s="22"/>
      <c r="D360" s="13"/>
      <c r="E360" s="16"/>
      <c r="F360" s="32"/>
      <c r="G360" s="13" t="s">
        <v>587</v>
      </c>
      <c r="H360" s="112" t="s">
        <v>870</v>
      </c>
      <c r="I360" s="104">
        <v>0.06</v>
      </c>
      <c r="J360" s="15"/>
      <c r="K360" s="17"/>
      <c r="L360" s="15"/>
      <c r="M360" s="24"/>
      <c r="N360" s="24"/>
    </row>
    <row r="361" spans="1:14" ht="15" customHeight="1" hidden="1">
      <c r="A361" s="20" t="s">
        <v>930</v>
      </c>
      <c r="B361" s="111" t="s">
        <v>920</v>
      </c>
      <c r="C361" s="22"/>
      <c r="D361" s="13"/>
      <c r="E361" s="16"/>
      <c r="F361" s="32"/>
      <c r="G361" s="13" t="s">
        <v>587</v>
      </c>
      <c r="H361" s="112" t="s">
        <v>873</v>
      </c>
      <c r="I361" s="104">
        <v>0.05</v>
      </c>
      <c r="J361" s="15"/>
      <c r="K361" s="17"/>
      <c r="L361" s="15"/>
      <c r="M361" s="24"/>
      <c r="N361" s="24"/>
    </row>
    <row r="362" spans="1:14" ht="15" customHeight="1" hidden="1">
      <c r="A362" s="20" t="s">
        <v>931</v>
      </c>
      <c r="B362" s="111" t="s">
        <v>921</v>
      </c>
      <c r="C362" s="22"/>
      <c r="D362" s="13"/>
      <c r="E362" s="16"/>
      <c r="F362" s="32"/>
      <c r="G362" s="13" t="s">
        <v>587</v>
      </c>
      <c r="H362" s="112" t="s">
        <v>875</v>
      </c>
      <c r="I362" s="104">
        <v>0.08</v>
      </c>
      <c r="J362" s="15"/>
      <c r="K362" s="17"/>
      <c r="L362" s="15"/>
      <c r="M362" s="24"/>
      <c r="N362" s="24"/>
    </row>
    <row r="363" spans="1:14" ht="15" customHeight="1" hidden="1">
      <c r="A363" s="20" t="s">
        <v>932</v>
      </c>
      <c r="B363" s="111" t="s">
        <v>922</v>
      </c>
      <c r="C363" s="22"/>
      <c r="D363" s="13"/>
      <c r="E363" s="16"/>
      <c r="F363" s="32"/>
      <c r="G363" s="13" t="s">
        <v>587</v>
      </c>
      <c r="H363" s="112" t="s">
        <v>877</v>
      </c>
      <c r="I363" s="101">
        <v>0.42</v>
      </c>
      <c r="J363" s="15"/>
      <c r="K363" s="17"/>
      <c r="L363" s="15"/>
      <c r="M363" s="24"/>
      <c r="N363" s="24"/>
    </row>
    <row r="364" spans="1:14" ht="16.5" customHeight="1" hidden="1">
      <c r="A364" s="20" t="s">
        <v>933</v>
      </c>
      <c r="B364" s="111" t="s">
        <v>923</v>
      </c>
      <c r="C364" s="22"/>
      <c r="D364" s="13"/>
      <c r="E364" s="16"/>
      <c r="F364" s="32"/>
      <c r="G364" s="13" t="s">
        <v>587</v>
      </c>
      <c r="H364" s="112" t="s">
        <v>879</v>
      </c>
      <c r="I364" s="101">
        <v>0.66</v>
      </c>
      <c r="J364" s="15"/>
      <c r="K364" s="17"/>
      <c r="L364" s="15"/>
      <c r="M364" s="24"/>
      <c r="N364" s="24"/>
    </row>
    <row r="365" spans="1:14" ht="17.25" customHeight="1">
      <c r="A365" s="20" t="s">
        <v>929</v>
      </c>
      <c r="B365" s="21" t="s">
        <v>918</v>
      </c>
      <c r="C365" s="22"/>
      <c r="D365" s="13"/>
      <c r="E365" s="16"/>
      <c r="F365" s="32"/>
      <c r="G365" s="13" t="s">
        <v>23</v>
      </c>
      <c r="H365" s="101" t="s">
        <v>881</v>
      </c>
      <c r="I365" s="17">
        <v>0.39</v>
      </c>
      <c r="J365" s="15">
        <v>1.2</v>
      </c>
      <c r="K365" s="17">
        <f>I365*J365</f>
        <v>0.47</v>
      </c>
      <c r="L365" s="15">
        <f>'[5]Раздел №1'!$I$32</f>
        <v>468.7</v>
      </c>
      <c r="M365" s="24">
        <f>K365*L365</f>
        <v>220.3</v>
      </c>
      <c r="N365" s="24"/>
    </row>
    <row r="366" spans="1:14" ht="14.25" customHeight="1">
      <c r="A366" s="20"/>
      <c r="B366" s="26" t="s">
        <v>911</v>
      </c>
      <c r="C366" s="27"/>
      <c r="D366" s="28"/>
      <c r="E366" s="29"/>
      <c r="F366" s="41"/>
      <c r="G366" s="28"/>
      <c r="H366" s="30"/>
      <c r="I366" s="29"/>
      <c r="J366" s="28"/>
      <c r="K366" s="33"/>
      <c r="L366" s="15">
        <f>'[5]Раздел №1'!$I$32</f>
        <v>468.7</v>
      </c>
      <c r="M366" s="31"/>
      <c r="N366" s="31"/>
    </row>
    <row r="367" spans="1:14" ht="14.25" customHeight="1">
      <c r="A367" s="20" t="s">
        <v>930</v>
      </c>
      <c r="B367" s="111" t="s">
        <v>1092</v>
      </c>
      <c r="C367" s="27"/>
      <c r="D367" s="28"/>
      <c r="E367" s="29"/>
      <c r="F367" s="41"/>
      <c r="G367" s="115" t="s">
        <v>801</v>
      </c>
      <c r="H367" s="100" t="s">
        <v>788</v>
      </c>
      <c r="I367" s="101">
        <v>1.5</v>
      </c>
      <c r="J367" s="15">
        <v>1</v>
      </c>
      <c r="K367" s="17">
        <f>I367*J367</f>
        <v>1.5</v>
      </c>
      <c r="L367" s="15">
        <f>'[5]Раздел №1'!$I$32</f>
        <v>468.7</v>
      </c>
      <c r="M367" s="24">
        <f>K367*L367</f>
        <v>703.1</v>
      </c>
      <c r="N367" s="31"/>
    </row>
    <row r="368" spans="1:15" ht="14.25" customHeight="1">
      <c r="A368" s="20" t="s">
        <v>931</v>
      </c>
      <c r="B368" s="111" t="s">
        <v>1006</v>
      </c>
      <c r="C368" s="27"/>
      <c r="D368" s="28"/>
      <c r="E368" s="29"/>
      <c r="F368" s="41"/>
      <c r="G368" s="115" t="s">
        <v>793</v>
      </c>
      <c r="H368" s="100" t="s">
        <v>791</v>
      </c>
      <c r="I368" s="101">
        <v>0.4</v>
      </c>
      <c r="J368" s="15">
        <v>1</v>
      </c>
      <c r="K368" s="17">
        <f>I368*J368</f>
        <v>0.4</v>
      </c>
      <c r="L368" s="15">
        <f>'[5]Раздел №1'!$I$32</f>
        <v>468.7</v>
      </c>
      <c r="M368" s="24">
        <f>K368*L368</f>
        <v>187.5</v>
      </c>
      <c r="N368" s="31"/>
      <c r="O368" s="7" t="s">
        <v>103</v>
      </c>
    </row>
    <row r="369" spans="1:14" ht="14.25" customHeight="1">
      <c r="A369" s="20" t="s">
        <v>932</v>
      </c>
      <c r="B369" s="111" t="s">
        <v>1007</v>
      </c>
      <c r="C369" s="27"/>
      <c r="D369" s="28"/>
      <c r="E369" s="29"/>
      <c r="F369" s="41"/>
      <c r="G369" s="115" t="s">
        <v>797</v>
      </c>
      <c r="H369" s="100" t="s">
        <v>795</v>
      </c>
      <c r="I369" s="104">
        <v>0.1</v>
      </c>
      <c r="J369" s="15">
        <v>1</v>
      </c>
      <c r="K369" s="17">
        <f>I369*J369</f>
        <v>0.1</v>
      </c>
      <c r="L369" s="15">
        <f>'[5]Раздел №1'!$I$32</f>
        <v>468.7</v>
      </c>
      <c r="M369" s="24">
        <f>K369*L369</f>
        <v>46.9</v>
      </c>
      <c r="N369" s="31"/>
    </row>
    <row r="370" spans="1:14" ht="14.25" customHeight="1">
      <c r="A370" s="20" t="s">
        <v>933</v>
      </c>
      <c r="B370" s="113" t="s">
        <v>1008</v>
      </c>
      <c r="C370" s="27"/>
      <c r="D370" s="28"/>
      <c r="E370" s="29"/>
      <c r="F370" s="41"/>
      <c r="G370" s="115" t="s">
        <v>801</v>
      </c>
      <c r="H370" s="100" t="s">
        <v>799</v>
      </c>
      <c r="I370" s="101">
        <v>0.16</v>
      </c>
      <c r="J370" s="15">
        <v>1</v>
      </c>
      <c r="K370" s="17">
        <f>I370*J370</f>
        <v>0.16</v>
      </c>
      <c r="L370" s="15">
        <f>'[5]Раздел №1'!$I$32</f>
        <v>468.7</v>
      </c>
      <c r="M370" s="24">
        <f>K370*L370</f>
        <v>75</v>
      </c>
      <c r="N370" s="31"/>
    </row>
    <row r="371" spans="1:14" ht="14.25" customHeight="1">
      <c r="A371" s="20" t="s">
        <v>934</v>
      </c>
      <c r="B371" s="111" t="s">
        <v>1009</v>
      </c>
      <c r="C371" s="27"/>
      <c r="D371" s="28"/>
      <c r="E371" s="29"/>
      <c r="F371" s="41"/>
      <c r="G371" s="115" t="s">
        <v>797</v>
      </c>
      <c r="H371" s="100" t="s">
        <v>803</v>
      </c>
      <c r="I371" s="104">
        <v>4</v>
      </c>
      <c r="J371" s="15">
        <v>1</v>
      </c>
      <c r="K371" s="17">
        <f>I371*J371</f>
        <v>4</v>
      </c>
      <c r="L371" s="15">
        <f>'[5]Раздел №1'!$I$32</f>
        <v>468.7</v>
      </c>
      <c r="M371" s="24">
        <f>K371*L371</f>
        <v>1874.8</v>
      </c>
      <c r="N371" s="31"/>
    </row>
    <row r="372" spans="1:14" ht="14.25" customHeight="1">
      <c r="A372" s="25">
        <v>3</v>
      </c>
      <c r="B372" s="26" t="s">
        <v>146</v>
      </c>
      <c r="C372" s="22"/>
      <c r="D372" s="13"/>
      <c r="E372" s="16"/>
      <c r="F372" s="32"/>
      <c r="G372" s="13"/>
      <c r="H372" s="13"/>
      <c r="I372" s="13"/>
      <c r="J372" s="13"/>
      <c r="K372" s="15"/>
      <c r="L372" s="15">
        <f>'[5]Раздел №1'!$I$32</f>
        <v>468.7</v>
      </c>
      <c r="M372" s="24"/>
      <c r="N372" s="24"/>
    </row>
    <row r="373" spans="1:14" ht="15" customHeight="1">
      <c r="A373" s="20" t="s">
        <v>709</v>
      </c>
      <c r="B373" s="21" t="s">
        <v>147</v>
      </c>
      <c r="C373" s="22"/>
      <c r="D373" s="13"/>
      <c r="E373" s="16"/>
      <c r="F373" s="32"/>
      <c r="G373" s="13" t="s">
        <v>159</v>
      </c>
      <c r="H373" s="13" t="s">
        <v>160</v>
      </c>
      <c r="I373" s="17">
        <v>0.33</v>
      </c>
      <c r="J373" s="15">
        <v>1</v>
      </c>
      <c r="K373" s="17">
        <f>I373*J373</f>
        <v>0.33</v>
      </c>
      <c r="L373" s="15">
        <f>'[5]Раздел №1'!$I$32</f>
        <v>468.7</v>
      </c>
      <c r="M373" s="24">
        <f>K373*L373</f>
        <v>154.7</v>
      </c>
      <c r="N373" s="24">
        <f>SUM(N374)</f>
        <v>0</v>
      </c>
    </row>
    <row r="374" spans="1:14" ht="13.5" customHeight="1" hidden="1" outlineLevel="1">
      <c r="A374" s="20"/>
      <c r="B374" s="21"/>
      <c r="C374" s="22" t="s">
        <v>175</v>
      </c>
      <c r="D374" s="13" t="s">
        <v>41</v>
      </c>
      <c r="E374" s="16">
        <v>1</v>
      </c>
      <c r="F374" s="17"/>
      <c r="G374" s="13"/>
      <c r="H374" s="13" t="s">
        <v>196</v>
      </c>
      <c r="I374" s="13"/>
      <c r="J374" s="13"/>
      <c r="K374" s="15"/>
      <c r="L374" s="15">
        <f>'[5]Раздел №1'!$I$32</f>
        <v>468.7</v>
      </c>
      <c r="M374" s="24"/>
      <c r="N374" s="24">
        <f aca="true" t="shared" si="18" ref="N374:N411">E374*F374</f>
        <v>0</v>
      </c>
    </row>
    <row r="375" spans="1:14" ht="17.25" customHeight="1" collapsed="1">
      <c r="A375" s="20" t="s">
        <v>710</v>
      </c>
      <c r="B375" s="21" t="s">
        <v>148</v>
      </c>
      <c r="C375" s="22"/>
      <c r="D375" s="13"/>
      <c r="E375" s="16"/>
      <c r="F375" s="32"/>
      <c r="G375" s="13" t="s">
        <v>159</v>
      </c>
      <c r="H375" s="13" t="s">
        <v>162</v>
      </c>
      <c r="I375" s="17">
        <v>0.5</v>
      </c>
      <c r="J375" s="15">
        <v>1</v>
      </c>
      <c r="K375" s="17">
        <f>I375*J375</f>
        <v>0.5</v>
      </c>
      <c r="L375" s="15">
        <f>'[5]Раздел №1'!$I$32</f>
        <v>468.7</v>
      </c>
      <c r="M375" s="24">
        <f>K375*L375</f>
        <v>234.4</v>
      </c>
      <c r="N375" s="24">
        <f>SUM(N376)</f>
        <v>0</v>
      </c>
    </row>
    <row r="376" spans="1:14" ht="12.75" customHeight="1" hidden="1" outlineLevel="1">
      <c r="A376" s="20"/>
      <c r="B376" s="21"/>
      <c r="C376" s="22" t="s">
        <v>176</v>
      </c>
      <c r="D376" s="13" t="s">
        <v>41</v>
      </c>
      <c r="E376" s="16">
        <v>1</v>
      </c>
      <c r="F376" s="17"/>
      <c r="G376" s="13"/>
      <c r="H376" s="13" t="s">
        <v>196</v>
      </c>
      <c r="I376" s="13"/>
      <c r="J376" s="13"/>
      <c r="K376" s="15"/>
      <c r="L376" s="15">
        <f>'[5]Раздел №1'!$I$32</f>
        <v>468.7</v>
      </c>
      <c r="M376" s="24"/>
      <c r="N376" s="24">
        <f t="shared" si="18"/>
        <v>0</v>
      </c>
    </row>
    <row r="377" spans="1:14" ht="16.5" customHeight="1" collapsed="1">
      <c r="A377" s="20" t="s">
        <v>711</v>
      </c>
      <c r="B377" s="21" t="s">
        <v>149</v>
      </c>
      <c r="C377" s="22"/>
      <c r="D377" s="13"/>
      <c r="E377" s="16"/>
      <c r="F377" s="32"/>
      <c r="G377" s="13" t="s">
        <v>159</v>
      </c>
      <c r="H377" s="13" t="s">
        <v>163</v>
      </c>
      <c r="I377" s="17">
        <v>0.25</v>
      </c>
      <c r="J377" s="15">
        <v>1</v>
      </c>
      <c r="K377" s="17">
        <f>I377*J377</f>
        <v>0.25</v>
      </c>
      <c r="L377" s="15">
        <f>'[5]Раздел №1'!$I$32</f>
        <v>468.7</v>
      </c>
      <c r="M377" s="24">
        <f>K377*L377</f>
        <v>117.2</v>
      </c>
      <c r="N377" s="24">
        <f>SUM(N378)</f>
        <v>0</v>
      </c>
    </row>
    <row r="378" spans="1:14" ht="0.75" customHeight="1" hidden="1" outlineLevel="1">
      <c r="A378" s="20"/>
      <c r="B378" s="21"/>
      <c r="C378" s="22" t="s">
        <v>179</v>
      </c>
      <c r="D378" s="13" t="s">
        <v>41</v>
      </c>
      <c r="E378" s="16">
        <v>1</v>
      </c>
      <c r="F378" s="17"/>
      <c r="G378" s="13"/>
      <c r="H378" s="13" t="s">
        <v>196</v>
      </c>
      <c r="I378" s="13"/>
      <c r="J378" s="13"/>
      <c r="K378" s="15"/>
      <c r="L378" s="15">
        <f>'[5]Раздел №1'!$I$32</f>
        <v>468.7</v>
      </c>
      <c r="M378" s="24"/>
      <c r="N378" s="24">
        <f t="shared" si="18"/>
        <v>0</v>
      </c>
    </row>
    <row r="379" spans="1:14" ht="17.25" customHeight="1" collapsed="1">
      <c r="A379" s="20" t="s">
        <v>712</v>
      </c>
      <c r="B379" s="21" t="s">
        <v>150</v>
      </c>
      <c r="C379" s="22"/>
      <c r="D379" s="13"/>
      <c r="E379" s="16"/>
      <c r="F379" s="32"/>
      <c r="G379" s="13" t="s">
        <v>159</v>
      </c>
      <c r="H379" s="13" t="s">
        <v>164</v>
      </c>
      <c r="I379" s="17">
        <v>0.2</v>
      </c>
      <c r="J379" s="15">
        <v>1</v>
      </c>
      <c r="K379" s="17">
        <f>I379*J379</f>
        <v>0.2</v>
      </c>
      <c r="L379" s="15">
        <f>'[5]Раздел №1'!$I$32</f>
        <v>468.7</v>
      </c>
      <c r="M379" s="24">
        <f>K379*L379</f>
        <v>93.7</v>
      </c>
      <c r="N379" s="24">
        <f>SUM(N380)</f>
        <v>0</v>
      </c>
    </row>
    <row r="380" spans="1:14" ht="12.75" customHeight="1" hidden="1" outlineLevel="1">
      <c r="A380" s="20"/>
      <c r="B380" s="21"/>
      <c r="C380" s="22" t="s">
        <v>180</v>
      </c>
      <c r="D380" s="13" t="s">
        <v>41</v>
      </c>
      <c r="E380" s="16">
        <v>1</v>
      </c>
      <c r="F380" s="17"/>
      <c r="G380" s="13"/>
      <c r="H380" s="13" t="s">
        <v>196</v>
      </c>
      <c r="I380" s="13"/>
      <c r="J380" s="13"/>
      <c r="K380" s="15"/>
      <c r="L380" s="15">
        <f>'[5]Раздел №1'!$I$32</f>
        <v>468.7</v>
      </c>
      <c r="M380" s="24"/>
      <c r="N380" s="24">
        <f t="shared" si="18"/>
        <v>0</v>
      </c>
    </row>
    <row r="381" spans="1:14" ht="14.25" customHeight="1" collapsed="1">
      <c r="A381" s="20" t="s">
        <v>713</v>
      </c>
      <c r="B381" s="21" t="s">
        <v>151</v>
      </c>
      <c r="C381" s="22"/>
      <c r="D381" s="13"/>
      <c r="E381" s="16"/>
      <c r="F381" s="32"/>
      <c r="G381" s="13" t="s">
        <v>159</v>
      </c>
      <c r="H381" s="13" t="s">
        <v>165</v>
      </c>
      <c r="I381" s="17">
        <v>0.2</v>
      </c>
      <c r="J381" s="15">
        <v>1</v>
      </c>
      <c r="K381" s="17">
        <f>I381*J381</f>
        <v>0.2</v>
      </c>
      <c r="L381" s="15">
        <f>'[5]Раздел №1'!$I$32</f>
        <v>468.7</v>
      </c>
      <c r="M381" s="24">
        <f>K381*L381</f>
        <v>93.7</v>
      </c>
      <c r="N381" s="24">
        <f>SUM(N382)</f>
        <v>0</v>
      </c>
    </row>
    <row r="382" spans="1:14" ht="12.75" customHeight="1" hidden="1" outlineLevel="1">
      <c r="A382" s="20"/>
      <c r="B382" s="21"/>
      <c r="C382" s="65" t="s">
        <v>181</v>
      </c>
      <c r="D382" s="13" t="s">
        <v>41</v>
      </c>
      <c r="E382" s="16">
        <v>1</v>
      </c>
      <c r="F382" s="66"/>
      <c r="G382" s="13"/>
      <c r="H382" s="13" t="s">
        <v>196</v>
      </c>
      <c r="I382" s="13"/>
      <c r="J382" s="13"/>
      <c r="K382" s="15"/>
      <c r="L382" s="15">
        <f>'[5]Раздел №1'!$I$32</f>
        <v>468.7</v>
      </c>
      <c r="M382" s="24"/>
      <c r="N382" s="24">
        <f t="shared" si="18"/>
        <v>0</v>
      </c>
    </row>
    <row r="383" spans="1:14" ht="17.25" customHeight="1" collapsed="1">
      <c r="A383" s="60" t="s">
        <v>714</v>
      </c>
      <c r="B383" s="21" t="s">
        <v>152</v>
      </c>
      <c r="C383" s="22"/>
      <c r="D383" s="13"/>
      <c r="E383" s="16"/>
      <c r="F383" s="32"/>
      <c r="G383" s="13" t="s">
        <v>159</v>
      </c>
      <c r="H383" s="13" t="s">
        <v>166</v>
      </c>
      <c r="I383" s="17">
        <v>0.08</v>
      </c>
      <c r="J383" s="15">
        <v>1</v>
      </c>
      <c r="K383" s="17">
        <f>I383*J383</f>
        <v>0.08</v>
      </c>
      <c r="L383" s="15">
        <f>'[5]Раздел №1'!$I$32</f>
        <v>468.7</v>
      </c>
      <c r="M383" s="24">
        <f>K383*L383</f>
        <v>37.5</v>
      </c>
      <c r="N383" s="24">
        <f>SUM(N384)</f>
        <v>0</v>
      </c>
    </row>
    <row r="384" spans="1:14" ht="12.75" customHeight="1" hidden="1" outlineLevel="1">
      <c r="A384" s="20"/>
      <c r="B384" s="21"/>
      <c r="C384" s="22" t="s">
        <v>182</v>
      </c>
      <c r="D384" s="13" t="s">
        <v>41</v>
      </c>
      <c r="E384" s="16">
        <v>1</v>
      </c>
      <c r="F384" s="17"/>
      <c r="G384" s="13"/>
      <c r="H384" s="13" t="s">
        <v>196</v>
      </c>
      <c r="I384" s="13"/>
      <c r="J384" s="13"/>
      <c r="K384" s="15"/>
      <c r="L384" s="15">
        <f>'[5]Раздел №1'!$I$32</f>
        <v>468.7</v>
      </c>
      <c r="M384" s="24"/>
      <c r="N384" s="24">
        <f t="shared" si="18"/>
        <v>0</v>
      </c>
    </row>
    <row r="385" spans="1:14" ht="17.25" customHeight="1" collapsed="1">
      <c r="A385" s="20" t="s">
        <v>715</v>
      </c>
      <c r="B385" s="21" t="s">
        <v>153</v>
      </c>
      <c r="C385" s="22"/>
      <c r="D385" s="13"/>
      <c r="E385" s="16"/>
      <c r="F385" s="32"/>
      <c r="G385" s="13" t="s">
        <v>159</v>
      </c>
      <c r="H385" s="13" t="s">
        <v>167</v>
      </c>
      <c r="I385" s="17">
        <v>0.12</v>
      </c>
      <c r="J385" s="15">
        <v>1</v>
      </c>
      <c r="K385" s="17">
        <f>I385*J385</f>
        <v>0.12</v>
      </c>
      <c r="L385" s="15">
        <f>'[5]Раздел №1'!$I$32</f>
        <v>468.7</v>
      </c>
      <c r="M385" s="24">
        <f>K385*L385</f>
        <v>56.2</v>
      </c>
      <c r="N385" s="24">
        <f>SUM(N386)</f>
        <v>0</v>
      </c>
    </row>
    <row r="386" spans="1:14" ht="12.75" customHeight="1" hidden="1" outlineLevel="1">
      <c r="A386" s="20"/>
      <c r="B386" s="21"/>
      <c r="C386" s="22" t="s">
        <v>183</v>
      </c>
      <c r="D386" s="13" t="s">
        <v>41</v>
      </c>
      <c r="E386" s="16">
        <v>1</v>
      </c>
      <c r="F386" s="17"/>
      <c r="G386" s="13"/>
      <c r="H386" s="13" t="s">
        <v>196</v>
      </c>
      <c r="I386" s="13"/>
      <c r="J386" s="13"/>
      <c r="K386" s="15"/>
      <c r="L386" s="15">
        <f>'[5]Раздел №1'!$I$32</f>
        <v>468.7</v>
      </c>
      <c r="M386" s="24"/>
      <c r="N386" s="24">
        <f t="shared" si="18"/>
        <v>0</v>
      </c>
    </row>
    <row r="387" spans="1:14" ht="14.25" customHeight="1" collapsed="1">
      <c r="A387" s="20" t="s">
        <v>716</v>
      </c>
      <c r="B387" s="21" t="s">
        <v>154</v>
      </c>
      <c r="C387" s="22"/>
      <c r="D387" s="13"/>
      <c r="E387" s="16"/>
      <c r="F387" s="32"/>
      <c r="G387" s="13" t="s">
        <v>159</v>
      </c>
      <c r="H387" s="13" t="s">
        <v>168</v>
      </c>
      <c r="I387" s="17">
        <v>0.17</v>
      </c>
      <c r="J387" s="15">
        <v>1</v>
      </c>
      <c r="K387" s="17">
        <f>I387*J387</f>
        <v>0.17</v>
      </c>
      <c r="L387" s="15">
        <f>'[5]Раздел №1'!$I$32</f>
        <v>468.7</v>
      </c>
      <c r="M387" s="24">
        <f>K387*L387</f>
        <v>79.7</v>
      </c>
      <c r="N387" s="24">
        <f>SUM(N388)</f>
        <v>0</v>
      </c>
    </row>
    <row r="388" spans="1:15" ht="0.75" customHeight="1" hidden="1" outlineLevel="1">
      <c r="A388" s="20"/>
      <c r="B388" s="21"/>
      <c r="C388" s="22" t="s">
        <v>184</v>
      </c>
      <c r="D388" s="13" t="s">
        <v>41</v>
      </c>
      <c r="E388" s="16">
        <v>1</v>
      </c>
      <c r="F388" s="17"/>
      <c r="G388" s="13"/>
      <c r="H388" s="13" t="s">
        <v>196</v>
      </c>
      <c r="I388" s="13"/>
      <c r="J388" s="13"/>
      <c r="K388" s="15"/>
      <c r="L388" s="15">
        <f>'[5]Раздел №1'!$I$32</f>
        <v>468.7</v>
      </c>
      <c r="M388" s="24"/>
      <c r="N388" s="24">
        <f t="shared" si="18"/>
        <v>0</v>
      </c>
      <c r="O388" s="7" t="s">
        <v>516</v>
      </c>
    </row>
    <row r="389" spans="1:14" ht="15.75" customHeight="1" collapsed="1">
      <c r="A389" s="20" t="s">
        <v>717</v>
      </c>
      <c r="B389" s="21" t="s">
        <v>155</v>
      </c>
      <c r="C389" s="22"/>
      <c r="D389" s="13"/>
      <c r="E389" s="16"/>
      <c r="F389" s="32"/>
      <c r="G389" s="13" t="s">
        <v>159</v>
      </c>
      <c r="H389" s="13" t="s">
        <v>169</v>
      </c>
      <c r="I389" s="17">
        <v>0.08</v>
      </c>
      <c r="J389" s="15">
        <v>1</v>
      </c>
      <c r="K389" s="17">
        <f>I389*J389</f>
        <v>0.08</v>
      </c>
      <c r="L389" s="15">
        <f>'[5]Раздел №1'!$I$32</f>
        <v>468.7</v>
      </c>
      <c r="M389" s="24">
        <f>K389*L389</f>
        <v>37.5</v>
      </c>
      <c r="N389" s="24">
        <f>SUM(N390)</f>
        <v>0</v>
      </c>
    </row>
    <row r="390" spans="1:15" ht="0.75" customHeight="1" hidden="1" outlineLevel="1">
      <c r="A390" s="20"/>
      <c r="B390" s="21"/>
      <c r="C390" s="22" t="s">
        <v>185</v>
      </c>
      <c r="D390" s="13" t="s">
        <v>41</v>
      </c>
      <c r="E390" s="16">
        <v>1</v>
      </c>
      <c r="F390" s="17"/>
      <c r="G390" s="13"/>
      <c r="H390" s="13" t="s">
        <v>196</v>
      </c>
      <c r="I390" s="13"/>
      <c r="J390" s="13"/>
      <c r="K390" s="15"/>
      <c r="L390" s="15">
        <f>'[5]Раздел №1'!$I$32</f>
        <v>468.7</v>
      </c>
      <c r="M390" s="24"/>
      <c r="N390" s="24">
        <f t="shared" si="18"/>
        <v>0</v>
      </c>
      <c r="O390" s="7" t="s">
        <v>467</v>
      </c>
    </row>
    <row r="391" spans="1:14" ht="18" customHeight="1" collapsed="1">
      <c r="A391" s="20" t="s">
        <v>718</v>
      </c>
      <c r="B391" s="21" t="s">
        <v>156</v>
      </c>
      <c r="C391" s="22"/>
      <c r="D391" s="13"/>
      <c r="E391" s="16"/>
      <c r="F391" s="32"/>
      <c r="G391" s="13" t="s">
        <v>159</v>
      </c>
      <c r="H391" s="13" t="s">
        <v>170</v>
      </c>
      <c r="I391" s="17">
        <v>0.5</v>
      </c>
      <c r="J391" s="15">
        <v>1</v>
      </c>
      <c r="K391" s="17">
        <f>I391*J391</f>
        <v>0.5</v>
      </c>
      <c r="L391" s="15">
        <f>'[5]Раздел №1'!$I$32</f>
        <v>468.7</v>
      </c>
      <c r="M391" s="24">
        <f>K391*L391</f>
        <v>234.4</v>
      </c>
      <c r="N391" s="24">
        <f>SUM(N392)</f>
        <v>0</v>
      </c>
    </row>
    <row r="392" spans="1:14" ht="12.75" customHeight="1" hidden="1" outlineLevel="1">
      <c r="A392" s="20"/>
      <c r="B392" s="21"/>
      <c r="C392" s="22" t="s">
        <v>186</v>
      </c>
      <c r="D392" s="13" t="s">
        <v>41</v>
      </c>
      <c r="E392" s="16">
        <v>1</v>
      </c>
      <c r="F392" s="17"/>
      <c r="G392" s="13"/>
      <c r="H392" s="13" t="s">
        <v>196</v>
      </c>
      <c r="I392" s="13"/>
      <c r="J392" s="13"/>
      <c r="K392" s="15"/>
      <c r="L392" s="15">
        <f>'[5]Раздел №1'!$I$32</f>
        <v>468.7</v>
      </c>
      <c r="M392" s="24"/>
      <c r="N392" s="24">
        <f t="shared" si="18"/>
        <v>0</v>
      </c>
    </row>
    <row r="393" spans="1:14" ht="18.75" customHeight="1" collapsed="1">
      <c r="A393" s="20" t="s">
        <v>719</v>
      </c>
      <c r="B393" s="21" t="s">
        <v>157</v>
      </c>
      <c r="C393" s="22"/>
      <c r="D393" s="13"/>
      <c r="E393" s="16"/>
      <c r="F393" s="32"/>
      <c r="G393" s="13" t="s">
        <v>159</v>
      </c>
      <c r="H393" s="13" t="s">
        <v>171</v>
      </c>
      <c r="I393" s="17">
        <v>0.27</v>
      </c>
      <c r="J393" s="15">
        <v>1</v>
      </c>
      <c r="K393" s="17">
        <f>I393*J393</f>
        <v>0.27</v>
      </c>
      <c r="L393" s="15">
        <f>'[5]Раздел №1'!$I$32</f>
        <v>468.7</v>
      </c>
      <c r="M393" s="24">
        <f>K393*L393</f>
        <v>126.5</v>
      </c>
      <c r="N393" s="24">
        <v>0</v>
      </c>
    </row>
    <row r="394" spans="1:14" ht="17.25" customHeight="1">
      <c r="A394" s="20" t="s">
        <v>720</v>
      </c>
      <c r="B394" s="21" t="s">
        <v>158</v>
      </c>
      <c r="C394" s="22"/>
      <c r="D394" s="13"/>
      <c r="E394" s="16"/>
      <c r="F394" s="32"/>
      <c r="G394" s="13" t="s">
        <v>159</v>
      </c>
      <c r="H394" s="13" t="s">
        <v>172</v>
      </c>
      <c r="I394" s="17">
        <v>0.3</v>
      </c>
      <c r="J394" s="15">
        <v>1</v>
      </c>
      <c r="K394" s="17">
        <f>I394*J394</f>
        <v>0.3</v>
      </c>
      <c r="L394" s="15">
        <f>'[5]Раздел №1'!$I$32</f>
        <v>468.7</v>
      </c>
      <c r="M394" s="24">
        <f>K394*L394</f>
        <v>140.6</v>
      </c>
      <c r="N394" s="24">
        <f>SUM(N395:N396)</f>
        <v>1</v>
      </c>
    </row>
    <row r="395" spans="1:15" ht="12.75" customHeight="1" hidden="1" outlineLevel="1">
      <c r="A395" s="20"/>
      <c r="B395" s="21"/>
      <c r="C395" s="22" t="s">
        <v>126</v>
      </c>
      <c r="D395" s="13" t="s">
        <v>33</v>
      </c>
      <c r="E395" s="16">
        <v>0.003</v>
      </c>
      <c r="F395" s="17">
        <f>114.98*1.096*1.25*1.18*1.118*1.091*1.078*1.077*1.08</f>
        <v>284.28</v>
      </c>
      <c r="G395" s="13"/>
      <c r="H395" s="13" t="s">
        <v>196</v>
      </c>
      <c r="I395" s="13"/>
      <c r="J395" s="13"/>
      <c r="K395" s="15"/>
      <c r="L395" s="15">
        <f>'[5]Раздел №1'!$I$32</f>
        <v>468.7</v>
      </c>
      <c r="M395" s="24"/>
      <c r="N395" s="24">
        <f t="shared" si="18"/>
        <v>0.9</v>
      </c>
      <c r="O395" s="7" t="s">
        <v>512</v>
      </c>
    </row>
    <row r="396" spans="1:15" ht="12.75" customHeight="1" hidden="1" outlineLevel="1">
      <c r="A396" s="20"/>
      <c r="B396" s="21"/>
      <c r="C396" s="22" t="s">
        <v>187</v>
      </c>
      <c r="D396" s="13" t="s">
        <v>188</v>
      </c>
      <c r="E396" s="16">
        <v>3.5</v>
      </c>
      <c r="F396" s="17">
        <f>100020.43/1000/10000*1.18*1.096*1.25*1.118*1.091*1.078*1.077*1.08</f>
        <v>0.02</v>
      </c>
      <c r="G396" s="13"/>
      <c r="H396" s="13" t="s">
        <v>196</v>
      </c>
      <c r="I396" s="13"/>
      <c r="J396" s="13"/>
      <c r="K396" s="15"/>
      <c r="L396" s="15">
        <f>'[5]Раздел №1'!$I$32</f>
        <v>468.7</v>
      </c>
      <c r="M396" s="24"/>
      <c r="N396" s="24">
        <f t="shared" si="18"/>
        <v>0.1</v>
      </c>
      <c r="O396" s="7" t="s">
        <v>469</v>
      </c>
    </row>
    <row r="397" spans="1:14" ht="16.5" customHeight="1" collapsed="1">
      <c r="A397" s="20" t="s">
        <v>721</v>
      </c>
      <c r="B397" s="21" t="s">
        <v>190</v>
      </c>
      <c r="C397" s="22"/>
      <c r="D397" s="13"/>
      <c r="E397" s="16"/>
      <c r="F397" s="32"/>
      <c r="G397" s="13" t="s">
        <v>159</v>
      </c>
      <c r="H397" s="13" t="s">
        <v>173</v>
      </c>
      <c r="I397" s="17">
        <v>0.4</v>
      </c>
      <c r="J397" s="15">
        <v>1</v>
      </c>
      <c r="K397" s="17">
        <f>I397*J397</f>
        <v>0.4</v>
      </c>
      <c r="L397" s="15">
        <f>'[5]Раздел №1'!$I$32</f>
        <v>468.7</v>
      </c>
      <c r="M397" s="24">
        <f>K397*L397</f>
        <v>187.5</v>
      </c>
      <c r="N397" s="24">
        <f>SUM(N398:N398)</f>
        <v>0</v>
      </c>
    </row>
    <row r="398" spans="1:14" ht="12.75" customHeight="1" hidden="1" outlineLevel="1">
      <c r="A398" s="20"/>
      <c r="B398" s="21"/>
      <c r="C398" s="22" t="s">
        <v>189</v>
      </c>
      <c r="D398" s="13" t="s">
        <v>41</v>
      </c>
      <c r="E398" s="16">
        <v>1</v>
      </c>
      <c r="F398" s="17"/>
      <c r="G398" s="13"/>
      <c r="H398" s="13" t="s">
        <v>196</v>
      </c>
      <c r="I398" s="13"/>
      <c r="J398" s="13"/>
      <c r="K398" s="15"/>
      <c r="L398" s="15">
        <f>'[5]Раздел №1'!$I$32</f>
        <v>468.7</v>
      </c>
      <c r="M398" s="24"/>
      <c r="N398" s="24">
        <f t="shared" si="18"/>
        <v>0</v>
      </c>
    </row>
    <row r="399" spans="1:14" ht="17.25" customHeight="1" collapsed="1">
      <c r="A399" s="20" t="s">
        <v>722</v>
      </c>
      <c r="B399" s="21" t="s">
        <v>191</v>
      </c>
      <c r="C399" s="22"/>
      <c r="D399" s="13"/>
      <c r="E399" s="16"/>
      <c r="F399" s="32"/>
      <c r="G399" s="13" t="s">
        <v>159</v>
      </c>
      <c r="H399" s="13" t="s">
        <v>173</v>
      </c>
      <c r="I399" s="17">
        <v>0.4</v>
      </c>
      <c r="J399" s="15">
        <v>1</v>
      </c>
      <c r="K399" s="17">
        <f>I399*J399</f>
        <v>0.4</v>
      </c>
      <c r="L399" s="15">
        <f>'[5]Раздел №1'!$I$32</f>
        <v>468.7</v>
      </c>
      <c r="M399" s="24">
        <f>K399*L399</f>
        <v>187.5</v>
      </c>
      <c r="N399" s="24">
        <f>SUM(N400:N400)</f>
        <v>0</v>
      </c>
    </row>
    <row r="400" spans="1:14" ht="18" customHeight="1" hidden="1" outlineLevel="1">
      <c r="A400" s="20"/>
      <c r="B400" s="21"/>
      <c r="C400" s="22" t="s">
        <v>104</v>
      </c>
      <c r="D400" s="13" t="s">
        <v>41</v>
      </c>
      <c r="E400" s="16">
        <v>1</v>
      </c>
      <c r="F400" s="17"/>
      <c r="G400" s="13"/>
      <c r="H400" s="13" t="s">
        <v>196</v>
      </c>
      <c r="I400" s="13"/>
      <c r="J400" s="13"/>
      <c r="K400" s="15"/>
      <c r="L400" s="15">
        <f>'[5]Раздел №1'!$I$32</f>
        <v>468.7</v>
      </c>
      <c r="M400" s="24"/>
      <c r="N400" s="24">
        <f>E400*F400</f>
        <v>0</v>
      </c>
    </row>
    <row r="401" spans="1:14" ht="20.25" customHeight="1" collapsed="1">
      <c r="A401" s="20" t="s">
        <v>723</v>
      </c>
      <c r="B401" s="21" t="s">
        <v>192</v>
      </c>
      <c r="C401" s="22"/>
      <c r="D401" s="13"/>
      <c r="E401" s="16"/>
      <c r="F401" s="32"/>
      <c r="G401" s="13" t="s">
        <v>159</v>
      </c>
      <c r="H401" s="13" t="s">
        <v>173</v>
      </c>
      <c r="I401" s="17">
        <v>0.4</v>
      </c>
      <c r="J401" s="15">
        <v>1</v>
      </c>
      <c r="K401" s="17">
        <f>I401*J401</f>
        <v>0.4</v>
      </c>
      <c r="L401" s="15">
        <f>'[5]Раздел №1'!$I$32</f>
        <v>468.7</v>
      </c>
      <c r="M401" s="24">
        <f>K401*L401</f>
        <v>187.5</v>
      </c>
      <c r="N401" s="24">
        <f>SUM(N402:N402)</f>
        <v>0</v>
      </c>
    </row>
    <row r="402" spans="1:14" ht="18" customHeight="1" hidden="1" outlineLevel="1">
      <c r="A402" s="20"/>
      <c r="B402" s="21"/>
      <c r="C402" s="22" t="s">
        <v>179</v>
      </c>
      <c r="D402" s="13" t="s">
        <v>41</v>
      </c>
      <c r="E402" s="16">
        <v>1</v>
      </c>
      <c r="F402" s="17"/>
      <c r="G402" s="13"/>
      <c r="H402" s="13" t="s">
        <v>196</v>
      </c>
      <c r="I402" s="13"/>
      <c r="J402" s="13"/>
      <c r="K402" s="15"/>
      <c r="L402" s="15">
        <f>'[5]Раздел №1'!$I$32</f>
        <v>468.7</v>
      </c>
      <c r="M402" s="24"/>
      <c r="N402" s="24">
        <f>E402*F402</f>
        <v>0</v>
      </c>
    </row>
    <row r="403" spans="1:14" ht="20.25" customHeight="1" collapsed="1">
      <c r="A403" s="20" t="s">
        <v>724</v>
      </c>
      <c r="B403" s="21" t="s">
        <v>161</v>
      </c>
      <c r="C403" s="22"/>
      <c r="D403" s="13"/>
      <c r="E403" s="16"/>
      <c r="F403" s="32"/>
      <c r="G403" s="13" t="s">
        <v>144</v>
      </c>
      <c r="H403" s="13" t="s">
        <v>174</v>
      </c>
      <c r="I403" s="13">
        <v>0.25</v>
      </c>
      <c r="J403" s="15">
        <v>1</v>
      </c>
      <c r="K403" s="17">
        <f>I403*J403</f>
        <v>0.25</v>
      </c>
      <c r="L403" s="15">
        <f>'[5]Раздел №1'!$I$32</f>
        <v>468.7</v>
      </c>
      <c r="M403" s="24">
        <f>K403*L403</f>
        <v>117.2</v>
      </c>
      <c r="N403" s="24">
        <f>SUM(N404:N409)</f>
        <v>35.3</v>
      </c>
    </row>
    <row r="404" spans="1:15" ht="17.25" customHeight="1" hidden="1" outlineLevel="1">
      <c r="A404" s="20"/>
      <c r="B404" s="21"/>
      <c r="C404" s="22" t="s">
        <v>193</v>
      </c>
      <c r="D404" s="13" t="s">
        <v>136</v>
      </c>
      <c r="E404" s="16">
        <v>0.075</v>
      </c>
      <c r="F404" s="17">
        <f>11400.18/1000*1.096*1.25*1.18*1.074*1.118*1.077*1.08</f>
        <v>25.74</v>
      </c>
      <c r="G404" s="13"/>
      <c r="H404" s="13" t="s">
        <v>197</v>
      </c>
      <c r="I404" s="13"/>
      <c r="J404" s="13"/>
      <c r="K404" s="15"/>
      <c r="L404" s="15">
        <f>'[5]Раздел №1'!$I$32</f>
        <v>468.7</v>
      </c>
      <c r="M404" s="24"/>
      <c r="N404" s="24">
        <f t="shared" si="18"/>
        <v>1.9</v>
      </c>
      <c r="O404" s="7" t="s">
        <v>529</v>
      </c>
    </row>
    <row r="405" spans="1:15" ht="15.75" customHeight="1" hidden="1" outlineLevel="1">
      <c r="A405" s="20"/>
      <c r="B405" s="21"/>
      <c r="C405" s="22" t="s">
        <v>131</v>
      </c>
      <c r="D405" s="13" t="s">
        <v>136</v>
      </c>
      <c r="E405" s="16">
        <v>0.075</v>
      </c>
      <c r="F405" s="17">
        <f>6853.76/1000*1.096*1.25*1.18*1.074*1.118*1.077*1.08</f>
        <v>15.47</v>
      </c>
      <c r="G405" s="13"/>
      <c r="H405" s="13" t="s">
        <v>197</v>
      </c>
      <c r="I405" s="13"/>
      <c r="J405" s="13"/>
      <c r="K405" s="15"/>
      <c r="L405" s="15">
        <f>'[5]Раздел №1'!$I$32</f>
        <v>468.7</v>
      </c>
      <c r="M405" s="24"/>
      <c r="N405" s="24">
        <f t="shared" si="18"/>
        <v>1.2</v>
      </c>
      <c r="O405" s="7" t="s">
        <v>530</v>
      </c>
    </row>
    <row r="406" spans="1:15" ht="13.5" customHeight="1" hidden="1" outlineLevel="1">
      <c r="A406" s="20"/>
      <c r="B406" s="21"/>
      <c r="C406" s="22" t="s">
        <v>132</v>
      </c>
      <c r="D406" s="13" t="s">
        <v>136</v>
      </c>
      <c r="E406" s="16">
        <v>0.021</v>
      </c>
      <c r="F406" s="17">
        <f>11400.18/1000*1.096*1.25*1.18*1.074*1.118*1.077*1.08</f>
        <v>25.74</v>
      </c>
      <c r="G406" s="13"/>
      <c r="H406" s="13" t="s">
        <v>197</v>
      </c>
      <c r="I406" s="13"/>
      <c r="J406" s="13"/>
      <c r="K406" s="15"/>
      <c r="L406" s="15">
        <f>'[5]Раздел №1'!$I$32</f>
        <v>468.7</v>
      </c>
      <c r="M406" s="24"/>
      <c r="N406" s="24">
        <f t="shared" si="18"/>
        <v>0.5</v>
      </c>
      <c r="O406" s="7" t="s">
        <v>529</v>
      </c>
    </row>
    <row r="407" spans="1:15" ht="12" customHeight="1" hidden="1" outlineLevel="1">
      <c r="A407" s="20"/>
      <c r="B407" s="21"/>
      <c r="C407" s="22" t="s">
        <v>194</v>
      </c>
      <c r="D407" s="13" t="s">
        <v>136</v>
      </c>
      <c r="E407" s="16">
        <v>0.021</v>
      </c>
      <c r="F407" s="17">
        <f>46099.51/1000*1.18*1.096*1.25*1.074*1.118*1.077*1.08</f>
        <v>104.08</v>
      </c>
      <c r="G407" s="13"/>
      <c r="H407" s="13" t="s">
        <v>197</v>
      </c>
      <c r="I407" s="13"/>
      <c r="J407" s="13"/>
      <c r="K407" s="15"/>
      <c r="L407" s="15">
        <f>'[5]Раздел №1'!$I$32</f>
        <v>468.7</v>
      </c>
      <c r="M407" s="24"/>
      <c r="N407" s="24">
        <f t="shared" si="18"/>
        <v>2.2</v>
      </c>
      <c r="O407" s="7" t="s">
        <v>503</v>
      </c>
    </row>
    <row r="408" spans="1:15" ht="15" customHeight="1" hidden="1" outlineLevel="1">
      <c r="A408" s="20"/>
      <c r="B408" s="21"/>
      <c r="C408" s="22" t="s">
        <v>126</v>
      </c>
      <c r="D408" s="13" t="s">
        <v>33</v>
      </c>
      <c r="E408" s="16">
        <v>0.086</v>
      </c>
      <c r="F408" s="17">
        <f>114.98*1.096*1.25*1.18*1.074*1.118*1.077*1.08</f>
        <v>259.6</v>
      </c>
      <c r="G408" s="13"/>
      <c r="H408" s="13" t="s">
        <v>197</v>
      </c>
      <c r="I408" s="13"/>
      <c r="J408" s="13"/>
      <c r="K408" s="15"/>
      <c r="L408" s="15">
        <f>'[5]Раздел №1'!$I$32</f>
        <v>468.7</v>
      </c>
      <c r="M408" s="24"/>
      <c r="N408" s="24">
        <f t="shared" si="18"/>
        <v>22.3</v>
      </c>
      <c r="O408" s="7" t="s">
        <v>512</v>
      </c>
    </row>
    <row r="409" spans="1:15" ht="15.75" customHeight="1" hidden="1" outlineLevel="1">
      <c r="A409" s="20"/>
      <c r="B409" s="21"/>
      <c r="C409" s="22" t="s">
        <v>195</v>
      </c>
      <c r="D409" s="13" t="s">
        <v>33</v>
      </c>
      <c r="E409" s="16">
        <v>0.038</v>
      </c>
      <c r="F409" s="17">
        <f>88.37/1.05*1.18*1.096*1.25*1.074*1.118*1.077*1.08</f>
        <v>190.02</v>
      </c>
      <c r="G409" s="13"/>
      <c r="H409" s="13" t="s">
        <v>197</v>
      </c>
      <c r="I409" s="13"/>
      <c r="J409" s="13"/>
      <c r="K409" s="15"/>
      <c r="L409" s="15">
        <f>'[5]Раздел №1'!$I$32</f>
        <v>468.7</v>
      </c>
      <c r="M409" s="24"/>
      <c r="N409" s="24">
        <f t="shared" si="18"/>
        <v>7.2</v>
      </c>
      <c r="O409" s="7" t="s">
        <v>482</v>
      </c>
    </row>
    <row r="410" spans="1:14" ht="0.75" customHeight="1" hidden="1" collapsed="1">
      <c r="A410" s="20"/>
      <c r="B410" s="21" t="s">
        <v>143</v>
      </c>
      <c r="C410" s="22"/>
      <c r="D410" s="13"/>
      <c r="E410" s="16"/>
      <c r="F410" s="32"/>
      <c r="G410" s="13" t="s">
        <v>144</v>
      </c>
      <c r="H410" s="13" t="s">
        <v>145</v>
      </c>
      <c r="I410" s="13">
        <v>1.16</v>
      </c>
      <c r="J410" s="15">
        <v>1</v>
      </c>
      <c r="K410" s="17">
        <f>I410*J410</f>
        <v>1.16</v>
      </c>
      <c r="L410" s="15">
        <f>'[5]Раздел №1'!$I$32</f>
        <v>468.7</v>
      </c>
      <c r="M410" s="24">
        <f>K410*L410</f>
        <v>543.7</v>
      </c>
      <c r="N410" s="24">
        <f>SUM(N411)</f>
        <v>0</v>
      </c>
    </row>
    <row r="411" spans="1:14" ht="13.5" customHeight="1" hidden="1" outlineLevel="1">
      <c r="A411" s="20"/>
      <c r="B411" s="21"/>
      <c r="C411" s="22" t="s">
        <v>177</v>
      </c>
      <c r="D411" s="13" t="s">
        <v>178</v>
      </c>
      <c r="E411" s="16">
        <v>1</v>
      </c>
      <c r="F411" s="17"/>
      <c r="G411" s="13"/>
      <c r="H411" s="13" t="s">
        <v>196</v>
      </c>
      <c r="I411" s="13"/>
      <c r="J411" s="15"/>
      <c r="K411" s="17"/>
      <c r="L411" s="15">
        <f>'[5]Раздел №1'!$I$32</f>
        <v>468.7</v>
      </c>
      <c r="M411" s="24"/>
      <c r="N411" s="24">
        <f t="shared" si="18"/>
        <v>0</v>
      </c>
    </row>
    <row r="412" spans="1:14" ht="18.75" customHeight="1" outlineLevel="1">
      <c r="A412" s="20" t="s">
        <v>725</v>
      </c>
      <c r="B412" s="21" t="s">
        <v>912</v>
      </c>
      <c r="C412" s="22"/>
      <c r="D412" s="13"/>
      <c r="E412" s="16"/>
      <c r="F412" s="32"/>
      <c r="G412" s="13" t="s">
        <v>144</v>
      </c>
      <c r="H412" s="13" t="s">
        <v>145</v>
      </c>
      <c r="I412" s="13">
        <v>2.16</v>
      </c>
      <c r="J412" s="15">
        <v>1</v>
      </c>
      <c r="K412" s="17">
        <f>I412*J412</f>
        <v>2.16</v>
      </c>
      <c r="L412" s="15">
        <f>'[5]Раздел №1'!$I$32</f>
        <v>468.7</v>
      </c>
      <c r="M412" s="24">
        <f>K412*L412</f>
        <v>1012.4</v>
      </c>
      <c r="N412" s="24">
        <f>SUM(N417)</f>
        <v>0</v>
      </c>
    </row>
    <row r="413" spans="1:14" ht="21.75" customHeight="1" hidden="1" outlineLevel="1">
      <c r="A413" s="119"/>
      <c r="B413" s="137" t="s">
        <v>935</v>
      </c>
      <c r="C413" s="22"/>
      <c r="D413" s="13"/>
      <c r="E413" s="16"/>
      <c r="F413" s="17"/>
      <c r="G413" s="13" t="s">
        <v>936</v>
      </c>
      <c r="H413" s="55"/>
      <c r="I413" s="56"/>
      <c r="J413" s="55"/>
      <c r="K413" s="55"/>
      <c r="L413" s="55"/>
      <c r="M413" s="24">
        <f>'[4]подключение к ШВ 0,4кВ'!$E$57</f>
        <v>748.8</v>
      </c>
      <c r="N413" s="24">
        <v>0</v>
      </c>
    </row>
    <row r="414" spans="1:14" ht="21" customHeight="1" hidden="1" outlineLevel="1">
      <c r="A414" s="20"/>
      <c r="B414" s="137" t="s">
        <v>1035</v>
      </c>
      <c r="C414" s="22"/>
      <c r="D414" s="13"/>
      <c r="E414" s="16"/>
      <c r="F414" s="17"/>
      <c r="G414" s="13" t="s">
        <v>1036</v>
      </c>
      <c r="H414" s="55"/>
      <c r="I414" s="56"/>
      <c r="J414" s="55"/>
      <c r="K414" s="55"/>
      <c r="L414" s="55"/>
      <c r="M414" s="24">
        <f>'[4]Подключние к ЭВДС'!$E$59</f>
        <v>949.3</v>
      </c>
      <c r="N414" s="24">
        <v>0</v>
      </c>
    </row>
    <row r="415" spans="1:14" ht="26.25" customHeight="1" hidden="1" outlineLevel="1">
      <c r="A415" s="20"/>
      <c r="B415" s="137" t="s">
        <v>1037</v>
      </c>
      <c r="C415" s="22"/>
      <c r="D415" s="13"/>
      <c r="E415" s="16"/>
      <c r="F415" s="17"/>
      <c r="G415" s="13" t="s">
        <v>949</v>
      </c>
      <c r="H415" s="55"/>
      <c r="I415" s="56"/>
      <c r="J415" s="55"/>
      <c r="K415" s="55"/>
      <c r="L415" s="55"/>
      <c r="M415" s="24">
        <f>'[4]замена счетчика'!$E$56</f>
        <v>715.7</v>
      </c>
      <c r="N415" s="24">
        <v>0</v>
      </c>
    </row>
    <row r="416" spans="1:14" ht="14.25" customHeight="1" hidden="1" outlineLevel="1">
      <c r="A416" s="20"/>
      <c r="B416" s="137" t="s">
        <v>953</v>
      </c>
      <c r="C416" s="22"/>
      <c r="D416" s="13"/>
      <c r="E416" s="16"/>
      <c r="F416" s="17"/>
      <c r="G416" s="13" t="s">
        <v>949</v>
      </c>
      <c r="H416" s="55"/>
      <c r="I416" s="56"/>
      <c r="J416" s="55"/>
      <c r="K416" s="55"/>
      <c r="L416" s="55"/>
      <c r="M416" s="24">
        <f>'[4]замена счетчика (2)'!$E$58</f>
        <v>1609.9</v>
      </c>
      <c r="N416" s="24">
        <v>0</v>
      </c>
    </row>
    <row r="417" spans="1:14" ht="17.25" customHeight="1" hidden="1">
      <c r="A417" s="20"/>
      <c r="B417" s="137" t="s">
        <v>1039</v>
      </c>
      <c r="C417" s="22"/>
      <c r="D417" s="13"/>
      <c r="E417" s="16"/>
      <c r="F417" s="32"/>
      <c r="G417" s="13" t="s">
        <v>1040</v>
      </c>
      <c r="H417" s="13"/>
      <c r="I417" s="13"/>
      <c r="J417" s="15"/>
      <c r="K417" s="17"/>
      <c r="L417" s="15"/>
      <c r="M417" s="24">
        <f>'[3]пломбировка счетчика'!$E$38</f>
        <v>197.1</v>
      </c>
      <c r="N417" s="24">
        <v>0</v>
      </c>
    </row>
    <row r="418" spans="1:14" ht="0.75" customHeight="1" hidden="1">
      <c r="A418" s="61"/>
      <c r="B418" s="21"/>
      <c r="C418" s="22"/>
      <c r="D418" s="13"/>
      <c r="E418" s="16"/>
      <c r="F418" s="32"/>
      <c r="G418" s="13"/>
      <c r="H418" s="13"/>
      <c r="I418" s="13"/>
      <c r="J418" s="15"/>
      <c r="K418" s="17"/>
      <c r="L418" s="15"/>
      <c r="M418" s="24"/>
      <c r="N418" s="24"/>
    </row>
    <row r="419" spans="1:14" ht="18" customHeight="1" outlineLevel="1">
      <c r="A419" s="25">
        <v>4</v>
      </c>
      <c r="B419" s="26" t="s">
        <v>10</v>
      </c>
      <c r="C419" s="22"/>
      <c r="D419" s="13"/>
      <c r="E419" s="16"/>
      <c r="F419" s="32"/>
      <c r="G419" s="13"/>
      <c r="H419" s="13"/>
      <c r="I419" s="13"/>
      <c r="J419" s="13"/>
      <c r="K419" s="15"/>
      <c r="L419" s="15"/>
      <c r="M419" s="24"/>
      <c r="N419" s="24"/>
    </row>
    <row r="420" spans="1:14" ht="17.25" customHeight="1" outlineLevel="1">
      <c r="A420" s="60" t="s">
        <v>726</v>
      </c>
      <c r="B420" s="21" t="s">
        <v>198</v>
      </c>
      <c r="C420" s="22"/>
      <c r="D420" s="13"/>
      <c r="E420" s="16"/>
      <c r="F420" s="32"/>
      <c r="G420" s="13"/>
      <c r="H420" s="13"/>
      <c r="I420" s="13"/>
      <c r="J420" s="13"/>
      <c r="K420" s="15"/>
      <c r="L420" s="15"/>
      <c r="M420" s="24"/>
      <c r="N420" s="24"/>
    </row>
    <row r="421" spans="1:14" ht="15" customHeight="1" outlineLevel="1">
      <c r="A421" s="20"/>
      <c r="B421" s="21" t="s">
        <v>199</v>
      </c>
      <c r="C421" s="22"/>
      <c r="D421" s="13"/>
      <c r="E421" s="16"/>
      <c r="F421" s="32"/>
      <c r="G421" s="13" t="s">
        <v>204</v>
      </c>
      <c r="H421" s="13" t="s">
        <v>205</v>
      </c>
      <c r="I421" s="13">
        <v>0.83</v>
      </c>
      <c r="J421" s="15">
        <v>1</v>
      </c>
      <c r="K421" s="17">
        <f>I421*J421</f>
        <v>0.83</v>
      </c>
      <c r="L421" s="15">
        <f>'[5]Раздел №1'!$I$58</f>
        <v>421.6</v>
      </c>
      <c r="M421" s="24">
        <f>K421*L421</f>
        <v>349.9</v>
      </c>
      <c r="N421" s="24">
        <f>SUM(N422:N423)</f>
        <v>161.4</v>
      </c>
    </row>
    <row r="422" spans="1:15" ht="12.75" customHeight="1" hidden="1" outlineLevel="2">
      <c r="A422" s="20"/>
      <c r="B422" s="21"/>
      <c r="C422" s="22" t="s">
        <v>203</v>
      </c>
      <c r="D422" s="13" t="s">
        <v>41</v>
      </c>
      <c r="E422" s="16">
        <v>4</v>
      </c>
      <c r="F422" s="17">
        <f>15.1*1.096*1.25*1.18*1.074*1.118*1.091*1.078*1.077*1.08</f>
        <v>40.1</v>
      </c>
      <c r="G422" s="13"/>
      <c r="H422" s="13" t="s">
        <v>208</v>
      </c>
      <c r="I422" s="13"/>
      <c r="J422" s="13"/>
      <c r="K422" s="15"/>
      <c r="L422" s="15">
        <f>'[5]Раздел №1'!$I$58</f>
        <v>421.6</v>
      </c>
      <c r="M422" s="24"/>
      <c r="N422" s="24">
        <f>E422*F422</f>
        <v>160.4</v>
      </c>
      <c r="O422" s="7" t="s">
        <v>533</v>
      </c>
    </row>
    <row r="423" spans="1:15" ht="0.75" customHeight="1" hidden="1" outlineLevel="2">
      <c r="A423" s="20"/>
      <c r="B423" s="21"/>
      <c r="C423" s="22" t="s">
        <v>63</v>
      </c>
      <c r="D423" s="13" t="s">
        <v>33</v>
      </c>
      <c r="E423" s="16">
        <v>0.023</v>
      </c>
      <c r="F423" s="16">
        <f>24426.83/1120*1.096*1.25*1.18*1.074*1.118</f>
        <v>42.335</v>
      </c>
      <c r="G423" s="13"/>
      <c r="H423" s="13" t="s">
        <v>208</v>
      </c>
      <c r="I423" s="13"/>
      <c r="J423" s="13"/>
      <c r="K423" s="15"/>
      <c r="L423" s="15">
        <f>'[5]Раздел №1'!$I$58</f>
        <v>421.6</v>
      </c>
      <c r="M423" s="24"/>
      <c r="N423" s="24">
        <f>E423*F423</f>
        <v>1</v>
      </c>
      <c r="O423" s="7" t="s">
        <v>445</v>
      </c>
    </row>
    <row r="424" spans="1:14" ht="16.5" customHeight="1" outlineLevel="1" collapsed="1">
      <c r="A424" s="20"/>
      <c r="B424" s="21" t="s">
        <v>200</v>
      </c>
      <c r="C424" s="22"/>
      <c r="D424" s="13"/>
      <c r="E424" s="16"/>
      <c r="F424" s="32"/>
      <c r="G424" s="13" t="s">
        <v>204</v>
      </c>
      <c r="H424" s="13" t="s">
        <v>206</v>
      </c>
      <c r="I424" s="13">
        <v>0.91</v>
      </c>
      <c r="J424" s="15">
        <v>1</v>
      </c>
      <c r="K424" s="17">
        <f>I424*J424</f>
        <v>0.91</v>
      </c>
      <c r="L424" s="15">
        <f>'[5]Раздел №1'!$I$58</f>
        <v>421.6</v>
      </c>
      <c r="M424" s="24">
        <f>K424*L424</f>
        <v>383.7</v>
      </c>
      <c r="N424" s="24">
        <f>SUM(N425:N426)</f>
        <v>161.4</v>
      </c>
    </row>
    <row r="425" spans="1:15" ht="12.75" customHeight="1" hidden="1" outlineLevel="2">
      <c r="A425" s="20"/>
      <c r="B425" s="21"/>
      <c r="C425" s="22" t="s">
        <v>203</v>
      </c>
      <c r="D425" s="13" t="s">
        <v>41</v>
      </c>
      <c r="E425" s="16">
        <v>4</v>
      </c>
      <c r="F425" s="17">
        <f>15.1*1.096*1.25*1.18*1.074*1.118*1.091*1.078*1.077*1.08</f>
        <v>40.1</v>
      </c>
      <c r="G425" s="13"/>
      <c r="H425" s="13" t="s">
        <v>208</v>
      </c>
      <c r="I425" s="13"/>
      <c r="J425" s="13"/>
      <c r="K425" s="15"/>
      <c r="L425" s="15">
        <f>'[5]Раздел №1'!$I$58</f>
        <v>421.6</v>
      </c>
      <c r="M425" s="24"/>
      <c r="N425" s="24">
        <f>E425*F425</f>
        <v>160.4</v>
      </c>
      <c r="O425" s="7" t="s">
        <v>533</v>
      </c>
    </row>
    <row r="426" spans="1:15" ht="0.75" customHeight="1" hidden="1" outlineLevel="2">
      <c r="A426" s="20"/>
      <c r="B426" s="21"/>
      <c r="C426" s="22" t="s">
        <v>63</v>
      </c>
      <c r="D426" s="13" t="s">
        <v>33</v>
      </c>
      <c r="E426" s="16">
        <v>0.023</v>
      </c>
      <c r="F426" s="17">
        <f>24426.83/1120*1.096*1.25*1.18*1.074*1.118</f>
        <v>42.33</v>
      </c>
      <c r="G426" s="13"/>
      <c r="H426" s="13" t="s">
        <v>208</v>
      </c>
      <c r="I426" s="13"/>
      <c r="J426" s="13"/>
      <c r="K426" s="15"/>
      <c r="L426" s="15">
        <f>'[5]Раздел №1'!$I$58</f>
        <v>421.6</v>
      </c>
      <c r="M426" s="24"/>
      <c r="N426" s="24">
        <f>E426*F426</f>
        <v>1</v>
      </c>
      <c r="O426" s="7" t="s">
        <v>445</v>
      </c>
    </row>
    <row r="427" spans="1:14" ht="15.75" customHeight="1" outlineLevel="1" collapsed="1">
      <c r="A427" s="20"/>
      <c r="B427" s="21" t="s">
        <v>201</v>
      </c>
      <c r="C427" s="22"/>
      <c r="D427" s="13"/>
      <c r="E427" s="16"/>
      <c r="F427" s="32"/>
      <c r="G427" s="13" t="s">
        <v>204</v>
      </c>
      <c r="H427" s="13" t="s">
        <v>207</v>
      </c>
      <c r="I427" s="13">
        <v>1.01</v>
      </c>
      <c r="J427" s="15">
        <v>1</v>
      </c>
      <c r="K427" s="17">
        <f>I427*J427</f>
        <v>1.01</v>
      </c>
      <c r="L427" s="15">
        <f>'[5]Раздел №1'!$I$58</f>
        <v>421.6</v>
      </c>
      <c r="M427" s="24">
        <f>K427*L427</f>
        <v>425.8</v>
      </c>
      <c r="N427" s="24">
        <f>SUM(N428:N429)</f>
        <v>161.7</v>
      </c>
    </row>
    <row r="428" spans="1:15" ht="16.5" customHeight="1" hidden="1" outlineLevel="2">
      <c r="A428" s="20"/>
      <c r="B428" s="21"/>
      <c r="C428" s="22" t="s">
        <v>203</v>
      </c>
      <c r="D428" s="13" t="s">
        <v>41</v>
      </c>
      <c r="E428" s="16">
        <v>4</v>
      </c>
      <c r="F428" s="17">
        <f>15.1*1.096*1.25*1.18*1.074*1.118*1.091*1.078*1.077*1.08</f>
        <v>40.1</v>
      </c>
      <c r="G428" s="13"/>
      <c r="H428" s="13" t="s">
        <v>208</v>
      </c>
      <c r="I428" s="13"/>
      <c r="J428" s="13"/>
      <c r="K428" s="15"/>
      <c r="L428" s="15"/>
      <c r="M428" s="24"/>
      <c r="N428" s="24">
        <f>E428*F428</f>
        <v>160.4</v>
      </c>
      <c r="O428" s="7" t="s">
        <v>533</v>
      </c>
    </row>
    <row r="429" spans="1:15" ht="12.75" customHeight="1" hidden="1" outlineLevel="2">
      <c r="A429" s="20"/>
      <c r="B429" s="21"/>
      <c r="C429" s="22" t="s">
        <v>63</v>
      </c>
      <c r="D429" s="13" t="s">
        <v>33</v>
      </c>
      <c r="E429" s="16">
        <v>0.023</v>
      </c>
      <c r="F429" s="17">
        <f>24426.83/1120*1.096*1.25*1.18*1.074*1.118*1.091*1.078*1.077*1.08</f>
        <v>57.91</v>
      </c>
      <c r="G429" s="13"/>
      <c r="H429" s="13" t="s">
        <v>208</v>
      </c>
      <c r="I429" s="13"/>
      <c r="J429" s="13"/>
      <c r="K429" s="15"/>
      <c r="L429" s="15"/>
      <c r="M429" s="24"/>
      <c r="N429" s="24">
        <f>E429*F429</f>
        <v>1.3</v>
      </c>
      <c r="O429" s="7" t="s">
        <v>445</v>
      </c>
    </row>
    <row r="430" spans="1:14" ht="12.75" customHeight="1" outlineLevel="1" collapsed="1">
      <c r="A430" s="20" t="s">
        <v>727</v>
      </c>
      <c r="B430" s="21" t="s">
        <v>202</v>
      </c>
      <c r="C430" s="22"/>
      <c r="D430" s="13"/>
      <c r="E430" s="16"/>
      <c r="F430" s="32"/>
      <c r="G430" s="13"/>
      <c r="H430" s="13"/>
      <c r="I430" s="13"/>
      <c r="J430" s="13"/>
      <c r="K430" s="15"/>
      <c r="L430" s="15"/>
      <c r="M430" s="24"/>
      <c r="N430" s="24"/>
    </row>
    <row r="431" spans="1:14" ht="16.5" customHeight="1" outlineLevel="1">
      <c r="A431" s="20"/>
      <c r="B431" s="21" t="s">
        <v>199</v>
      </c>
      <c r="C431" s="22"/>
      <c r="D431" s="13"/>
      <c r="E431" s="16"/>
      <c r="F431" s="32"/>
      <c r="G431" s="13" t="s">
        <v>204</v>
      </c>
      <c r="H431" s="13" t="s">
        <v>210</v>
      </c>
      <c r="I431" s="13">
        <v>0.6</v>
      </c>
      <c r="J431" s="15">
        <v>1</v>
      </c>
      <c r="K431" s="17">
        <f>I431*J431</f>
        <v>0.6</v>
      </c>
      <c r="L431" s="15">
        <f>'[5]Раздел №1'!$I$58</f>
        <v>421.6</v>
      </c>
      <c r="M431" s="24">
        <f>K431*L431</f>
        <v>253</v>
      </c>
      <c r="N431" s="24">
        <f>SUM(N432:N434)</f>
        <v>161.7</v>
      </c>
    </row>
    <row r="432" spans="1:15" ht="15" customHeight="1" hidden="1" outlineLevel="2">
      <c r="A432" s="20"/>
      <c r="B432" s="21"/>
      <c r="C432" s="22" t="s">
        <v>203</v>
      </c>
      <c r="D432" s="13" t="s">
        <v>41</v>
      </c>
      <c r="E432" s="16">
        <v>4</v>
      </c>
      <c r="F432" s="17">
        <f>15.1*1.096*1.25*1.18*1.074*1.118*1.091*1.078*1.077*1.08</f>
        <v>40.1</v>
      </c>
      <c r="G432" s="13"/>
      <c r="H432" s="13" t="s">
        <v>208</v>
      </c>
      <c r="I432" s="13"/>
      <c r="J432" s="13"/>
      <c r="K432" s="15"/>
      <c r="L432" s="15">
        <f>'[5]Раздел №1'!$I$58</f>
        <v>421.6</v>
      </c>
      <c r="M432" s="24"/>
      <c r="N432" s="24">
        <f>E432*F432</f>
        <v>160.4</v>
      </c>
      <c r="O432" s="7" t="s">
        <v>533</v>
      </c>
    </row>
    <row r="433" spans="1:15" ht="15" customHeight="1" hidden="1" outlineLevel="2">
      <c r="A433" s="20"/>
      <c r="B433" s="21"/>
      <c r="C433" s="22" t="s">
        <v>63</v>
      </c>
      <c r="D433" s="13" t="s">
        <v>33</v>
      </c>
      <c r="E433" s="16">
        <v>0.023</v>
      </c>
      <c r="F433" s="17">
        <f>24426.83/1120*1.096*1.25*1.18*1.074*1.118*1.091*1.078*1.077*1.08</f>
        <v>57.91</v>
      </c>
      <c r="G433" s="13"/>
      <c r="H433" s="13" t="s">
        <v>208</v>
      </c>
      <c r="I433" s="13"/>
      <c r="J433" s="13"/>
      <c r="K433" s="15"/>
      <c r="L433" s="15">
        <f>'[5]Раздел №1'!$I$58</f>
        <v>421.6</v>
      </c>
      <c r="M433" s="24"/>
      <c r="N433" s="24">
        <f>E433*F433</f>
        <v>1.3</v>
      </c>
      <c r="O433" s="7" t="s">
        <v>445</v>
      </c>
    </row>
    <row r="434" spans="1:15" ht="16.5" customHeight="1" hidden="1" outlineLevel="2">
      <c r="A434" s="20"/>
      <c r="B434" s="21"/>
      <c r="C434" s="22" t="s">
        <v>209</v>
      </c>
      <c r="D434" s="13" t="s">
        <v>41</v>
      </c>
      <c r="E434" s="16">
        <v>1</v>
      </c>
      <c r="F434" s="17"/>
      <c r="G434" s="13"/>
      <c r="H434" s="13" t="s">
        <v>50</v>
      </c>
      <c r="I434" s="13"/>
      <c r="J434" s="13"/>
      <c r="K434" s="15"/>
      <c r="L434" s="15">
        <f>'[5]Раздел №1'!$I$58</f>
        <v>421.6</v>
      </c>
      <c r="M434" s="24"/>
      <c r="N434" s="24">
        <f>E434*F434</f>
        <v>0</v>
      </c>
      <c r="O434" s="7" t="s">
        <v>508</v>
      </c>
    </row>
    <row r="435" spans="1:14" ht="15.75" customHeight="1" outlineLevel="1" collapsed="1">
      <c r="A435" s="20"/>
      <c r="B435" s="21" t="s">
        <v>200</v>
      </c>
      <c r="C435" s="22"/>
      <c r="D435" s="13"/>
      <c r="E435" s="16"/>
      <c r="F435" s="32"/>
      <c r="G435" s="13" t="s">
        <v>204</v>
      </c>
      <c r="H435" s="13" t="s">
        <v>211</v>
      </c>
      <c r="I435" s="13">
        <v>0.66</v>
      </c>
      <c r="J435" s="15">
        <v>1</v>
      </c>
      <c r="K435" s="17">
        <f>I435*J435</f>
        <v>0.66</v>
      </c>
      <c r="L435" s="15">
        <f>'[5]Раздел №1'!$I$58</f>
        <v>421.6</v>
      </c>
      <c r="M435" s="24">
        <f>K435*L435</f>
        <v>278.3</v>
      </c>
      <c r="N435" s="24">
        <f>SUM(N436:N438)</f>
        <v>161.7</v>
      </c>
    </row>
    <row r="436" spans="1:15" ht="12.75" customHeight="1" hidden="1" outlineLevel="2">
      <c r="A436" s="20"/>
      <c r="B436" s="21"/>
      <c r="C436" s="22" t="s">
        <v>203</v>
      </c>
      <c r="D436" s="13" t="s">
        <v>41</v>
      </c>
      <c r="E436" s="16">
        <v>4</v>
      </c>
      <c r="F436" s="17">
        <f>15.1*1.096*1.25*1.18*1.074*1.118*1.091*1.078*1.077*1.08</f>
        <v>40.1</v>
      </c>
      <c r="G436" s="13"/>
      <c r="H436" s="13" t="s">
        <v>208</v>
      </c>
      <c r="I436" s="13"/>
      <c r="J436" s="13"/>
      <c r="K436" s="15"/>
      <c r="L436" s="15">
        <f>'[5]Раздел №1'!$I$58</f>
        <v>421.6</v>
      </c>
      <c r="M436" s="24"/>
      <c r="N436" s="24">
        <f>E436*F436</f>
        <v>160.4</v>
      </c>
      <c r="O436" s="7" t="s">
        <v>533</v>
      </c>
    </row>
    <row r="437" spans="1:15" ht="12.75" customHeight="1" hidden="1" outlineLevel="2">
      <c r="A437" s="20"/>
      <c r="B437" s="21"/>
      <c r="C437" s="22" t="s">
        <v>63</v>
      </c>
      <c r="D437" s="13" t="s">
        <v>33</v>
      </c>
      <c r="E437" s="16">
        <v>0.023</v>
      </c>
      <c r="F437" s="17">
        <f>24426.83/1120*1.096*1.25*1.18*1.074*1.118*1.091*1.078*1.077*1.08</f>
        <v>57.91</v>
      </c>
      <c r="G437" s="13"/>
      <c r="H437" s="13" t="s">
        <v>208</v>
      </c>
      <c r="I437" s="13"/>
      <c r="J437" s="13"/>
      <c r="K437" s="15"/>
      <c r="L437" s="15">
        <f>'[5]Раздел №1'!$I$58</f>
        <v>421.6</v>
      </c>
      <c r="M437" s="24"/>
      <c r="N437" s="24">
        <f>E437*F437</f>
        <v>1.3</v>
      </c>
      <c r="O437" s="7" t="s">
        <v>445</v>
      </c>
    </row>
    <row r="438" spans="1:15" ht="12.75" customHeight="1" hidden="1" outlineLevel="2">
      <c r="A438" s="20"/>
      <c r="B438" s="21"/>
      <c r="C438" s="22" t="s">
        <v>209</v>
      </c>
      <c r="D438" s="13" t="s">
        <v>41</v>
      </c>
      <c r="E438" s="16">
        <v>1</v>
      </c>
      <c r="F438" s="17"/>
      <c r="G438" s="13"/>
      <c r="H438" s="13" t="s">
        <v>50</v>
      </c>
      <c r="I438" s="13"/>
      <c r="J438" s="13"/>
      <c r="K438" s="15"/>
      <c r="L438" s="15">
        <f>'[5]Раздел №1'!$I$58</f>
        <v>421.6</v>
      </c>
      <c r="M438" s="24"/>
      <c r="N438" s="24">
        <f>E438*F438</f>
        <v>0</v>
      </c>
      <c r="O438" s="7" t="s">
        <v>508</v>
      </c>
    </row>
    <row r="439" spans="1:14" ht="15.75" customHeight="1" outlineLevel="1" collapsed="1">
      <c r="A439" s="20"/>
      <c r="B439" s="21" t="s">
        <v>201</v>
      </c>
      <c r="C439" s="22"/>
      <c r="D439" s="13"/>
      <c r="E439" s="16"/>
      <c r="F439" s="32"/>
      <c r="G439" s="13" t="s">
        <v>204</v>
      </c>
      <c r="H439" s="13" t="s">
        <v>212</v>
      </c>
      <c r="I439" s="13">
        <v>0.73</v>
      </c>
      <c r="J439" s="15">
        <v>1</v>
      </c>
      <c r="K439" s="17">
        <f>I439*J439</f>
        <v>0.73</v>
      </c>
      <c r="L439" s="15">
        <f>'[5]Раздел №1'!$I$58</f>
        <v>421.6</v>
      </c>
      <c r="M439" s="24">
        <f>K439*L439</f>
        <v>307.8</v>
      </c>
      <c r="N439" s="24">
        <f>SUM(N440:N442)</f>
        <v>161.7</v>
      </c>
    </row>
    <row r="440" spans="1:15" ht="12.75" customHeight="1" hidden="1" outlineLevel="2">
      <c r="A440" s="20"/>
      <c r="B440" s="21"/>
      <c r="C440" s="22" t="s">
        <v>203</v>
      </c>
      <c r="D440" s="13" t="s">
        <v>41</v>
      </c>
      <c r="E440" s="16">
        <v>4</v>
      </c>
      <c r="F440" s="17">
        <f>15.1*1.096*1.25*1.18*1.074*1.118*1.091*1.078*1.077*1.08</f>
        <v>40.1</v>
      </c>
      <c r="G440" s="13"/>
      <c r="H440" s="13" t="s">
        <v>208</v>
      </c>
      <c r="I440" s="13"/>
      <c r="J440" s="13"/>
      <c r="K440" s="15"/>
      <c r="L440" s="15">
        <f>'[5]Раздел №1'!$I$58</f>
        <v>421.6</v>
      </c>
      <c r="M440" s="24"/>
      <c r="N440" s="24">
        <f aca="true" t="shared" si="19" ref="N440:N447">E440*F440</f>
        <v>160.4</v>
      </c>
      <c r="O440" s="7" t="s">
        <v>533</v>
      </c>
    </row>
    <row r="441" spans="1:15" ht="15.75" customHeight="1" hidden="1" outlineLevel="2">
      <c r="A441" s="20"/>
      <c r="B441" s="21"/>
      <c r="C441" s="22" t="s">
        <v>63</v>
      </c>
      <c r="D441" s="13" t="s">
        <v>33</v>
      </c>
      <c r="E441" s="16">
        <v>0.023</v>
      </c>
      <c r="F441" s="17">
        <f>24426.83/1120*1.096*1.25*1.18*1.074*1.118*1.091*1.078*1.077*1.08</f>
        <v>57.91</v>
      </c>
      <c r="G441" s="13"/>
      <c r="H441" s="13" t="s">
        <v>208</v>
      </c>
      <c r="I441" s="13"/>
      <c r="J441" s="13"/>
      <c r="K441" s="15"/>
      <c r="L441" s="15">
        <f>'[5]Раздел №1'!$I$58</f>
        <v>421.6</v>
      </c>
      <c r="M441" s="24"/>
      <c r="N441" s="24">
        <f t="shared" si="19"/>
        <v>1.3</v>
      </c>
      <c r="O441" s="7" t="s">
        <v>445</v>
      </c>
    </row>
    <row r="442" spans="1:15" ht="1.5" customHeight="1" hidden="1" outlineLevel="2">
      <c r="A442" s="20"/>
      <c r="B442" s="21"/>
      <c r="C442" s="22" t="s">
        <v>209</v>
      </c>
      <c r="D442" s="13" t="s">
        <v>41</v>
      </c>
      <c r="E442" s="16">
        <v>1</v>
      </c>
      <c r="F442" s="17"/>
      <c r="G442" s="13"/>
      <c r="H442" s="13" t="s">
        <v>50</v>
      </c>
      <c r="I442" s="13"/>
      <c r="J442" s="13"/>
      <c r="K442" s="15"/>
      <c r="L442" s="15">
        <f>'[5]Раздел №1'!$I$58</f>
        <v>421.6</v>
      </c>
      <c r="M442" s="24"/>
      <c r="N442" s="24">
        <f t="shared" si="19"/>
        <v>0</v>
      </c>
      <c r="O442" s="7" t="s">
        <v>508</v>
      </c>
    </row>
    <row r="443" spans="1:14" ht="15" customHeight="1" outlineLevel="1" collapsed="1">
      <c r="A443" s="20" t="s">
        <v>728</v>
      </c>
      <c r="B443" s="21" t="s">
        <v>213</v>
      </c>
      <c r="C443" s="22"/>
      <c r="D443" s="13"/>
      <c r="E443" s="16"/>
      <c r="F443" s="32"/>
      <c r="G443" s="13" t="s">
        <v>214</v>
      </c>
      <c r="H443" s="13" t="s">
        <v>220</v>
      </c>
      <c r="I443" s="13">
        <v>1</v>
      </c>
      <c r="J443" s="15">
        <v>1</v>
      </c>
      <c r="K443" s="17">
        <f>I443*J443</f>
        <v>1</v>
      </c>
      <c r="L443" s="15">
        <f>'[5]Раздел №1'!$I$58</f>
        <v>421.6</v>
      </c>
      <c r="M443" s="24">
        <f>K443*L443</f>
        <v>421.6</v>
      </c>
      <c r="N443" s="24">
        <f>SUM(N444)</f>
        <v>160.4</v>
      </c>
    </row>
    <row r="444" spans="1:15" ht="12.75" customHeight="1" hidden="1" outlineLevel="2">
      <c r="A444" s="20"/>
      <c r="B444" s="21"/>
      <c r="C444" s="22" t="s">
        <v>203</v>
      </c>
      <c r="D444" s="13" t="s">
        <v>41</v>
      </c>
      <c r="E444" s="16">
        <v>4</v>
      </c>
      <c r="F444" s="17">
        <f>15.1*1.096*1.25*1.18*1.074*1.118*1.091*1.078*1.077*1.08</f>
        <v>40.1</v>
      </c>
      <c r="G444" s="13"/>
      <c r="H444" s="13" t="s">
        <v>215</v>
      </c>
      <c r="I444" s="13"/>
      <c r="J444" s="13"/>
      <c r="K444" s="15"/>
      <c r="L444" s="15">
        <f>'[5]Раздел №1'!$I$58</f>
        <v>421.6</v>
      </c>
      <c r="M444" s="24"/>
      <c r="N444" s="24">
        <f t="shared" si="19"/>
        <v>160.4</v>
      </c>
      <c r="O444" s="7" t="s">
        <v>533</v>
      </c>
    </row>
    <row r="445" spans="1:14" ht="15" customHeight="1" outlineLevel="1" collapsed="1">
      <c r="A445" s="20" t="s">
        <v>729</v>
      </c>
      <c r="B445" s="21" t="s">
        <v>216</v>
      </c>
      <c r="C445" s="22"/>
      <c r="D445" s="13"/>
      <c r="E445" s="16"/>
      <c r="F445" s="32"/>
      <c r="G445" s="13" t="s">
        <v>219</v>
      </c>
      <c r="H445" s="13" t="s">
        <v>221</v>
      </c>
      <c r="I445" s="13">
        <v>0.5</v>
      </c>
      <c r="J445" s="15">
        <v>1</v>
      </c>
      <c r="K445" s="17">
        <f>I445*J445</f>
        <v>0.5</v>
      </c>
      <c r="L445" s="15">
        <f>'[5]Раздел №1'!$I$58</f>
        <v>421.6</v>
      </c>
      <c r="M445" s="24">
        <f>K445*L445</f>
        <v>210.8</v>
      </c>
      <c r="N445" s="24">
        <f>SUM(N446:N447)</f>
        <v>24.6</v>
      </c>
    </row>
    <row r="446" spans="1:15" ht="12.75" customHeight="1" hidden="1" outlineLevel="2">
      <c r="A446" s="20"/>
      <c r="B446" s="21"/>
      <c r="C446" s="22" t="s">
        <v>217</v>
      </c>
      <c r="D446" s="13" t="s">
        <v>230</v>
      </c>
      <c r="E446" s="16">
        <v>1.05</v>
      </c>
      <c r="F446" s="17">
        <f>5506.53/1000*1.096*1.25*1.18*1.074*1.118*1.091*1.078*1.077*1.08</f>
        <v>14.62</v>
      </c>
      <c r="G446" s="13"/>
      <c r="H446" s="13" t="s">
        <v>222</v>
      </c>
      <c r="I446" s="13"/>
      <c r="J446" s="13"/>
      <c r="K446" s="15"/>
      <c r="L446" s="15"/>
      <c r="M446" s="24"/>
      <c r="N446" s="24">
        <f t="shared" si="19"/>
        <v>15.4</v>
      </c>
      <c r="O446" s="7" t="s">
        <v>531</v>
      </c>
    </row>
    <row r="447" spans="1:15" ht="12.75" customHeight="1" hidden="1" outlineLevel="2">
      <c r="A447" s="20"/>
      <c r="B447" s="21"/>
      <c r="C447" s="22" t="s">
        <v>218</v>
      </c>
      <c r="D447" s="13" t="s">
        <v>33</v>
      </c>
      <c r="E447" s="16">
        <v>0.079</v>
      </c>
      <c r="F447" s="17">
        <f>43.75*1.18*1.096*1.25*1.074*1.118*1.091*1.078*1.077*1.08</f>
        <v>116.17</v>
      </c>
      <c r="G447" s="13"/>
      <c r="H447" s="13" t="s">
        <v>222</v>
      </c>
      <c r="I447" s="13"/>
      <c r="J447" s="13"/>
      <c r="K447" s="15"/>
      <c r="L447" s="15"/>
      <c r="M447" s="24"/>
      <c r="N447" s="24">
        <f t="shared" si="19"/>
        <v>9.2</v>
      </c>
      <c r="O447" s="7" t="s">
        <v>521</v>
      </c>
    </row>
    <row r="448" spans="1:14" ht="12.75" customHeight="1" outlineLevel="1" collapsed="1">
      <c r="A448" s="20" t="s">
        <v>730</v>
      </c>
      <c r="B448" s="21" t="s">
        <v>223</v>
      </c>
      <c r="C448" s="22"/>
      <c r="D448" s="13"/>
      <c r="E448" s="16"/>
      <c r="F448" s="32"/>
      <c r="G448" s="13"/>
      <c r="H448" s="13"/>
      <c r="I448" s="13"/>
      <c r="J448" s="13"/>
      <c r="K448" s="15"/>
      <c r="L448" s="15"/>
      <c r="M448" s="24"/>
      <c r="N448" s="24"/>
    </row>
    <row r="449" spans="1:14" ht="12.75" customHeight="1" outlineLevel="1">
      <c r="A449" s="20"/>
      <c r="B449" s="21" t="s">
        <v>224</v>
      </c>
      <c r="C449" s="22"/>
      <c r="D449" s="13"/>
      <c r="E449" s="16"/>
      <c r="F449" s="32"/>
      <c r="G449" s="13"/>
      <c r="H449" s="13"/>
      <c r="I449" s="13"/>
      <c r="J449" s="13"/>
      <c r="K449" s="15"/>
      <c r="L449" s="15"/>
      <c r="M449" s="24"/>
      <c r="N449" s="24"/>
    </row>
    <row r="450" spans="1:14" ht="15.75" customHeight="1" outlineLevel="1">
      <c r="A450" s="20"/>
      <c r="B450" s="21" t="s">
        <v>225</v>
      </c>
      <c r="C450" s="22"/>
      <c r="D450" s="13"/>
      <c r="E450" s="16"/>
      <c r="F450" s="32"/>
      <c r="G450" s="13" t="s">
        <v>228</v>
      </c>
      <c r="H450" s="13" t="s">
        <v>227</v>
      </c>
      <c r="I450" s="13">
        <v>0.34</v>
      </c>
      <c r="J450" s="15">
        <v>1</v>
      </c>
      <c r="K450" s="17">
        <f>I450*J450</f>
        <v>0.34</v>
      </c>
      <c r="L450" s="15">
        <f>'[5]Раздел №1'!$I$58</f>
        <v>421.6</v>
      </c>
      <c r="M450" s="24">
        <f>K450*L450</f>
        <v>143.3</v>
      </c>
      <c r="N450" s="24">
        <f>SUM(N451:N452)</f>
        <v>15.7</v>
      </c>
    </row>
    <row r="451" spans="1:15" ht="12.75" customHeight="1" hidden="1" outlineLevel="2">
      <c r="A451" s="20"/>
      <c r="B451" s="21"/>
      <c r="C451" s="22" t="s">
        <v>229</v>
      </c>
      <c r="D451" s="13" t="s">
        <v>230</v>
      </c>
      <c r="E451" s="16">
        <f>0.002/1.6</f>
        <v>0.001</v>
      </c>
      <c r="F451" s="17">
        <f>5354.14*1.18*1.096*1.25*1.074*1.118*1.091*1.078*1.077*1.08</f>
        <v>14217.44</v>
      </c>
      <c r="G451" s="13"/>
      <c r="H451" s="13" t="s">
        <v>231</v>
      </c>
      <c r="I451" s="13"/>
      <c r="J451" s="13"/>
      <c r="K451" s="15"/>
      <c r="L451" s="15">
        <f>'[5]Раздел №1'!$I$58</f>
        <v>421.6</v>
      </c>
      <c r="M451" s="24"/>
      <c r="N451" s="24">
        <f>E451*F451</f>
        <v>14.2</v>
      </c>
      <c r="O451" s="7" t="s">
        <v>631</v>
      </c>
    </row>
    <row r="452" spans="1:15" ht="12.75" customHeight="1" hidden="1" outlineLevel="2">
      <c r="A452" s="20"/>
      <c r="B452" s="21"/>
      <c r="C452" s="22" t="s">
        <v>218</v>
      </c>
      <c r="D452" s="13" t="s">
        <v>33</v>
      </c>
      <c r="E452" s="16">
        <f>0.02/1.6</f>
        <v>0.013</v>
      </c>
      <c r="F452" s="17">
        <f>43.75*1.18*1.096*1.25*1.074*1.118*1.091*1.078*1.077*1.08</f>
        <v>116.17</v>
      </c>
      <c r="G452" s="13"/>
      <c r="H452" s="13" t="s">
        <v>231</v>
      </c>
      <c r="I452" s="13"/>
      <c r="J452" s="13"/>
      <c r="K452" s="15"/>
      <c r="L452" s="15">
        <f>'[5]Раздел №1'!$I$58</f>
        <v>421.6</v>
      </c>
      <c r="M452" s="24"/>
      <c r="N452" s="24">
        <f>E452*F452</f>
        <v>1.5</v>
      </c>
      <c r="O452" s="7" t="s">
        <v>521</v>
      </c>
    </row>
    <row r="453" spans="1:14" ht="15" customHeight="1" outlineLevel="1" collapsed="1">
      <c r="A453" s="20"/>
      <c r="B453" s="21" t="s">
        <v>226</v>
      </c>
      <c r="C453" s="22"/>
      <c r="D453" s="13"/>
      <c r="E453" s="16"/>
      <c r="F453" s="32"/>
      <c r="G453" s="13" t="s">
        <v>228</v>
      </c>
      <c r="H453" s="13" t="s">
        <v>233</v>
      </c>
      <c r="I453" s="13">
        <v>0.52</v>
      </c>
      <c r="J453" s="15">
        <v>1</v>
      </c>
      <c r="K453" s="17">
        <f>I453*J453</f>
        <v>0.52</v>
      </c>
      <c r="L453" s="15">
        <f>'[5]Раздел №1'!$I$58</f>
        <v>421.6</v>
      </c>
      <c r="M453" s="24">
        <f>K453*L453</f>
        <v>219.2</v>
      </c>
      <c r="N453" s="24">
        <f>SUM(N454:N455)</f>
        <v>15.7</v>
      </c>
    </row>
    <row r="454" spans="1:15" ht="12.75" customHeight="1" hidden="1" outlineLevel="2">
      <c r="A454" s="20"/>
      <c r="B454" s="21"/>
      <c r="C454" s="22" t="s">
        <v>229</v>
      </c>
      <c r="D454" s="13" t="s">
        <v>230</v>
      </c>
      <c r="E454" s="16">
        <f>0.002/1.6</f>
        <v>0.001</v>
      </c>
      <c r="F454" s="17">
        <f>5354.14*1.18*1.096*1.25*1.074*1.118*1.091*1.078*1.077*1.08</f>
        <v>14217.44</v>
      </c>
      <c r="G454" s="13"/>
      <c r="H454" s="13" t="s">
        <v>231</v>
      </c>
      <c r="I454" s="13"/>
      <c r="J454" s="13"/>
      <c r="K454" s="15"/>
      <c r="L454" s="15"/>
      <c r="M454" s="24"/>
      <c r="N454" s="24">
        <f>E454*F454</f>
        <v>14.2</v>
      </c>
      <c r="O454" s="7" t="s">
        <v>631</v>
      </c>
    </row>
    <row r="455" spans="1:15" ht="12.75" customHeight="1" hidden="1" outlineLevel="2">
      <c r="A455" s="20"/>
      <c r="B455" s="21"/>
      <c r="C455" s="22" t="s">
        <v>218</v>
      </c>
      <c r="D455" s="13" t="s">
        <v>33</v>
      </c>
      <c r="E455" s="16">
        <f>0.02/1.6</f>
        <v>0.013</v>
      </c>
      <c r="F455" s="17">
        <f>43.75*1.18*1.096*1.25*1.074*1.118*1.091*1.078*1.077*1.08</f>
        <v>116.17</v>
      </c>
      <c r="G455" s="13"/>
      <c r="H455" s="13" t="s">
        <v>231</v>
      </c>
      <c r="I455" s="13"/>
      <c r="J455" s="13"/>
      <c r="K455" s="15"/>
      <c r="L455" s="15"/>
      <c r="M455" s="24"/>
      <c r="N455" s="24">
        <f>E455*F455</f>
        <v>1.5</v>
      </c>
      <c r="O455" s="7" t="s">
        <v>521</v>
      </c>
    </row>
    <row r="456" spans="1:14" ht="15.75" customHeight="1" outlineLevel="1" collapsed="1">
      <c r="A456" s="20"/>
      <c r="B456" s="21" t="s">
        <v>232</v>
      </c>
      <c r="C456" s="22"/>
      <c r="D456" s="13"/>
      <c r="E456" s="16"/>
      <c r="F456" s="32"/>
      <c r="G456" s="13"/>
      <c r="H456" s="13"/>
      <c r="I456" s="13"/>
      <c r="J456" s="13"/>
      <c r="K456" s="15"/>
      <c r="L456" s="15"/>
      <c r="M456" s="24"/>
      <c r="N456" s="24"/>
    </row>
    <row r="457" spans="1:14" ht="15.75" customHeight="1" outlineLevel="1">
      <c r="A457" s="20"/>
      <c r="B457" s="21" t="s">
        <v>225</v>
      </c>
      <c r="C457" s="22"/>
      <c r="D457" s="13"/>
      <c r="E457" s="16"/>
      <c r="F457" s="32"/>
      <c r="G457" s="13" t="s">
        <v>228</v>
      </c>
      <c r="H457" s="13" t="s">
        <v>234</v>
      </c>
      <c r="I457" s="13">
        <v>0.26</v>
      </c>
      <c r="J457" s="15">
        <v>1</v>
      </c>
      <c r="K457" s="17">
        <f>I457*J457</f>
        <v>0.26</v>
      </c>
      <c r="L457" s="15">
        <f>'[5]Раздел №1'!$I$58</f>
        <v>421.6</v>
      </c>
      <c r="M457" s="24">
        <f>K457*L457</f>
        <v>109.6</v>
      </c>
      <c r="N457" s="24">
        <f>SUM(N458:N459)</f>
        <v>15.7</v>
      </c>
    </row>
    <row r="458" spans="1:15" ht="12.75" customHeight="1" hidden="1" outlineLevel="2">
      <c r="A458" s="20"/>
      <c r="B458" s="21"/>
      <c r="C458" s="22" t="s">
        <v>229</v>
      </c>
      <c r="D458" s="13" t="s">
        <v>230</v>
      </c>
      <c r="E458" s="16">
        <f>0.002/1.6</f>
        <v>0.001</v>
      </c>
      <c r="F458" s="17">
        <f>5354.14*1.18*1.096*1.25*1.074*1.118*1.091*1.078*1.077*1.08</f>
        <v>14217.44</v>
      </c>
      <c r="G458" s="13"/>
      <c r="H458" s="13" t="s">
        <v>231</v>
      </c>
      <c r="I458" s="13"/>
      <c r="J458" s="13"/>
      <c r="K458" s="15"/>
      <c r="L458" s="15">
        <f>'[5]Раздел №1'!$I$58</f>
        <v>421.6</v>
      </c>
      <c r="M458" s="24"/>
      <c r="N458" s="24">
        <f>E458*F458</f>
        <v>14.2</v>
      </c>
      <c r="O458" s="7" t="s">
        <v>631</v>
      </c>
    </row>
    <row r="459" spans="1:15" ht="12.75" customHeight="1" hidden="1" outlineLevel="2">
      <c r="A459" s="20"/>
      <c r="B459" s="21"/>
      <c r="C459" s="22" t="s">
        <v>218</v>
      </c>
      <c r="D459" s="13" t="s">
        <v>33</v>
      </c>
      <c r="E459" s="16">
        <f>0.02/1.6</f>
        <v>0.013</v>
      </c>
      <c r="F459" s="17">
        <f>43.75*1.18*1.096*1.25*1.074*1.118*1.091*1.078*1.077*1.08</f>
        <v>116.17</v>
      </c>
      <c r="G459" s="13"/>
      <c r="H459" s="13" t="s">
        <v>231</v>
      </c>
      <c r="I459" s="13"/>
      <c r="J459" s="13"/>
      <c r="K459" s="15"/>
      <c r="L459" s="15">
        <f>'[5]Раздел №1'!$I$58</f>
        <v>421.6</v>
      </c>
      <c r="M459" s="24"/>
      <c r="N459" s="24">
        <f>E459*F459</f>
        <v>1.5</v>
      </c>
      <c r="O459" s="7" t="s">
        <v>521</v>
      </c>
    </row>
    <row r="460" spans="1:14" ht="17.25" customHeight="1" outlineLevel="1" collapsed="1">
      <c r="A460" s="20"/>
      <c r="B460" s="21" t="s">
        <v>226</v>
      </c>
      <c r="C460" s="22"/>
      <c r="D460" s="13"/>
      <c r="E460" s="16"/>
      <c r="F460" s="32"/>
      <c r="G460" s="13" t="s">
        <v>228</v>
      </c>
      <c r="H460" s="13" t="s">
        <v>235</v>
      </c>
      <c r="I460" s="13">
        <v>0.39</v>
      </c>
      <c r="J460" s="15">
        <v>1</v>
      </c>
      <c r="K460" s="17">
        <f>I460*J460</f>
        <v>0.39</v>
      </c>
      <c r="L460" s="15">
        <f>'[5]Раздел №1'!$I$58</f>
        <v>421.6</v>
      </c>
      <c r="M460" s="24">
        <f>K460*L460</f>
        <v>164.4</v>
      </c>
      <c r="N460" s="24">
        <f>SUM(N461:N462)</f>
        <v>15.7</v>
      </c>
    </row>
    <row r="461" spans="1:15" ht="12.75" customHeight="1" hidden="1" outlineLevel="2">
      <c r="A461" s="20"/>
      <c r="B461" s="21"/>
      <c r="C461" s="22" t="s">
        <v>229</v>
      </c>
      <c r="D461" s="13" t="s">
        <v>230</v>
      </c>
      <c r="E461" s="16">
        <f>0.002/1.6</f>
        <v>0.001</v>
      </c>
      <c r="F461" s="17">
        <f>5354.14*1.18*1.096*1.25*1.074*1.118*1.091*1.078*1.077*1.08</f>
        <v>14217.44</v>
      </c>
      <c r="G461" s="13"/>
      <c r="H461" s="13" t="s">
        <v>231</v>
      </c>
      <c r="I461" s="13"/>
      <c r="J461" s="13"/>
      <c r="K461" s="15"/>
      <c r="L461" s="15">
        <f>'[5]Раздел №1'!$I$58</f>
        <v>421.6</v>
      </c>
      <c r="M461" s="24"/>
      <c r="N461" s="24">
        <f>E461*F461</f>
        <v>14.2</v>
      </c>
      <c r="O461" s="7" t="s">
        <v>631</v>
      </c>
    </row>
    <row r="462" spans="1:15" ht="12.75" customHeight="1" hidden="1" outlineLevel="2">
      <c r="A462" s="20"/>
      <c r="B462" s="21"/>
      <c r="C462" s="22" t="s">
        <v>218</v>
      </c>
      <c r="D462" s="13" t="s">
        <v>33</v>
      </c>
      <c r="E462" s="16">
        <f>0.02/1.6</f>
        <v>0.013</v>
      </c>
      <c r="F462" s="17">
        <f>43.75*1.18*1.096*1.25*1.074*1.118*1.091*1.078*1.077*1.08</f>
        <v>116.17</v>
      </c>
      <c r="G462" s="13"/>
      <c r="H462" s="13" t="s">
        <v>231</v>
      </c>
      <c r="I462" s="13"/>
      <c r="J462" s="13"/>
      <c r="K462" s="15"/>
      <c r="L462" s="15">
        <f>'[5]Раздел №1'!$I$58</f>
        <v>421.6</v>
      </c>
      <c r="M462" s="24"/>
      <c r="N462" s="24">
        <f>E462*F462</f>
        <v>1.5</v>
      </c>
      <c r="O462" s="7" t="s">
        <v>521</v>
      </c>
    </row>
    <row r="463" spans="1:14" ht="15" customHeight="1" outlineLevel="1" collapsed="1">
      <c r="A463" s="20" t="s">
        <v>731</v>
      </c>
      <c r="B463" s="21" t="s">
        <v>236</v>
      </c>
      <c r="C463" s="22"/>
      <c r="D463" s="13"/>
      <c r="E463" s="16"/>
      <c r="F463" s="32"/>
      <c r="G463" s="13"/>
      <c r="H463" s="13"/>
      <c r="I463" s="13"/>
      <c r="J463" s="13"/>
      <c r="K463" s="15"/>
      <c r="L463" s="15">
        <f>'[5]Раздел №1'!$I$58</f>
        <v>421.6</v>
      </c>
      <c r="M463" s="24"/>
      <c r="N463" s="24"/>
    </row>
    <row r="464" spans="1:14" ht="16.5" customHeight="1" outlineLevel="1">
      <c r="A464" s="20"/>
      <c r="B464" s="21" t="s">
        <v>237</v>
      </c>
      <c r="C464" s="22"/>
      <c r="D464" s="13"/>
      <c r="E464" s="16"/>
      <c r="F464" s="32"/>
      <c r="G464" s="13" t="s">
        <v>204</v>
      </c>
      <c r="H464" s="13" t="s">
        <v>240</v>
      </c>
      <c r="I464" s="13">
        <v>0.44</v>
      </c>
      <c r="J464" s="15">
        <v>1</v>
      </c>
      <c r="K464" s="17">
        <f>I464*J464</f>
        <v>0.44</v>
      </c>
      <c r="L464" s="15">
        <f>'[5]Раздел №1'!$I$58</f>
        <v>421.6</v>
      </c>
      <c r="M464" s="24">
        <f>K464*L464</f>
        <v>185.5</v>
      </c>
      <c r="N464" s="24">
        <f>SUM(N465:N466)</f>
        <v>57.4</v>
      </c>
    </row>
    <row r="465" spans="1:15" ht="12.75" customHeight="1" hidden="1" outlineLevel="2">
      <c r="A465" s="20"/>
      <c r="B465" s="21"/>
      <c r="C465" s="22" t="s">
        <v>239</v>
      </c>
      <c r="D465" s="13" t="s">
        <v>41</v>
      </c>
      <c r="E465" s="16">
        <v>1</v>
      </c>
      <c r="F465" s="17">
        <f>21.24*1.096*1.25*1.18*1.074*1.118*1.091*1.078*1.077*1.08</f>
        <v>56.4</v>
      </c>
      <c r="G465" s="13"/>
      <c r="H465" s="13" t="s">
        <v>241</v>
      </c>
      <c r="I465" s="13"/>
      <c r="J465" s="13"/>
      <c r="K465" s="15"/>
      <c r="L465" s="15">
        <f>'[5]Раздел №1'!$I$58</f>
        <v>421.6</v>
      </c>
      <c r="M465" s="24"/>
      <c r="N465" s="24">
        <f>E465*F465</f>
        <v>56.4</v>
      </c>
      <c r="O465" s="7" t="s">
        <v>490</v>
      </c>
    </row>
    <row r="466" spans="1:15" ht="12.75" customHeight="1" hidden="1" outlineLevel="2">
      <c r="A466" s="20"/>
      <c r="B466" s="21"/>
      <c r="C466" s="22" t="s">
        <v>63</v>
      </c>
      <c r="D466" s="13" t="s">
        <v>33</v>
      </c>
      <c r="E466" s="16">
        <v>0.018</v>
      </c>
      <c r="F466" s="17">
        <f>24426.83/1120*1.096*1.25*1.18*1.074*1.118*1.091*1.078*1.077*1.08</f>
        <v>57.91</v>
      </c>
      <c r="G466" s="13"/>
      <c r="H466" s="13" t="s">
        <v>241</v>
      </c>
      <c r="I466" s="13"/>
      <c r="J466" s="13"/>
      <c r="K466" s="15"/>
      <c r="L466" s="15">
        <f>'[5]Раздел №1'!$I$58</f>
        <v>421.6</v>
      </c>
      <c r="M466" s="24"/>
      <c r="N466" s="24">
        <f>E466*F466</f>
        <v>1</v>
      </c>
      <c r="O466" s="7" t="s">
        <v>445</v>
      </c>
    </row>
    <row r="467" spans="1:14" ht="16.5" customHeight="1" outlineLevel="1" collapsed="1">
      <c r="A467" s="20"/>
      <c r="B467" s="21" t="s">
        <v>238</v>
      </c>
      <c r="C467" s="22"/>
      <c r="D467" s="13"/>
      <c r="E467" s="16"/>
      <c r="F467" s="32"/>
      <c r="G467" s="13" t="s">
        <v>204</v>
      </c>
      <c r="H467" s="13" t="s">
        <v>242</v>
      </c>
      <c r="I467" s="13">
        <v>0.78</v>
      </c>
      <c r="J467" s="15">
        <v>1</v>
      </c>
      <c r="K467" s="17">
        <f>I467*J467</f>
        <v>0.78</v>
      </c>
      <c r="L467" s="15">
        <f>'[5]Раздел №1'!$I$58</f>
        <v>421.6</v>
      </c>
      <c r="M467" s="24">
        <f>K467*L467</f>
        <v>328.8</v>
      </c>
      <c r="N467" s="24">
        <f>SUM(N468:N469)</f>
        <v>114.9</v>
      </c>
    </row>
    <row r="468" spans="1:15" ht="12.75" customHeight="1" hidden="1" outlineLevel="2">
      <c r="A468" s="20"/>
      <c r="B468" s="21"/>
      <c r="C468" s="22" t="s">
        <v>239</v>
      </c>
      <c r="D468" s="13" t="s">
        <v>41</v>
      </c>
      <c r="E468" s="16">
        <f>1*2</f>
        <v>2</v>
      </c>
      <c r="F468" s="17">
        <f>21.24*1.096*1.25*1.18*1.074*1.118*1.091*1.078*1.077*1.08</f>
        <v>56.4</v>
      </c>
      <c r="G468" s="13"/>
      <c r="H468" s="13" t="s">
        <v>241</v>
      </c>
      <c r="I468" s="13"/>
      <c r="J468" s="13"/>
      <c r="K468" s="15"/>
      <c r="L468" s="15"/>
      <c r="M468" s="24"/>
      <c r="N468" s="24">
        <f>E468*F468</f>
        <v>112.8</v>
      </c>
      <c r="O468" s="7" t="s">
        <v>490</v>
      </c>
    </row>
    <row r="469" spans="1:15" ht="12.75" customHeight="1" hidden="1" outlineLevel="2">
      <c r="A469" s="20"/>
      <c r="B469" s="21"/>
      <c r="C469" s="22" t="s">
        <v>63</v>
      </c>
      <c r="D469" s="13" t="s">
        <v>33</v>
      </c>
      <c r="E469" s="16">
        <f>0.018*2</f>
        <v>0.036</v>
      </c>
      <c r="F469" s="17">
        <f>24426.83/1120*1.096*1.25*1.18*1.074*1.118*1.091*1.078*1.077*1.08</f>
        <v>57.91</v>
      </c>
      <c r="G469" s="13"/>
      <c r="H469" s="13" t="s">
        <v>241</v>
      </c>
      <c r="I469" s="13"/>
      <c r="J469" s="13"/>
      <c r="K469" s="15"/>
      <c r="L469" s="15"/>
      <c r="M469" s="24"/>
      <c r="N469" s="24">
        <f>E469*F469</f>
        <v>2.1</v>
      </c>
      <c r="O469" s="7" t="s">
        <v>445</v>
      </c>
    </row>
    <row r="470" spans="1:14" ht="12.75" customHeight="1" outlineLevel="1" collapsed="1">
      <c r="A470" s="20" t="s">
        <v>732</v>
      </c>
      <c r="B470" s="21" t="s">
        <v>243</v>
      </c>
      <c r="C470" s="22"/>
      <c r="D470" s="13"/>
      <c r="E470" s="16"/>
      <c r="F470" s="32"/>
      <c r="G470" s="13"/>
      <c r="H470" s="13"/>
      <c r="I470" s="13"/>
      <c r="J470" s="13"/>
      <c r="K470" s="15"/>
      <c r="L470" s="15"/>
      <c r="M470" s="24"/>
      <c r="N470" s="24"/>
    </row>
    <row r="471" spans="1:14" ht="15.75" customHeight="1" outlineLevel="1">
      <c r="A471" s="20"/>
      <c r="B471" s="21" t="s">
        <v>237</v>
      </c>
      <c r="C471" s="22"/>
      <c r="D471" s="13"/>
      <c r="E471" s="16"/>
      <c r="F471" s="32"/>
      <c r="G471" s="13" t="s">
        <v>204</v>
      </c>
      <c r="H471" s="13" t="s">
        <v>244</v>
      </c>
      <c r="I471" s="13">
        <v>0.54</v>
      </c>
      <c r="J471" s="15">
        <v>1</v>
      </c>
      <c r="K471" s="17">
        <f>I471*J471</f>
        <v>0.54</v>
      </c>
      <c r="L471" s="15">
        <f>'[5]Раздел №1'!$I$58</f>
        <v>421.6</v>
      </c>
      <c r="M471" s="24">
        <f>K471*L471</f>
        <v>227.7</v>
      </c>
      <c r="N471" s="24">
        <f>SUM(N472:N473)</f>
        <v>57.4</v>
      </c>
    </row>
    <row r="472" spans="1:15" ht="12.75" customHeight="1" hidden="1" outlineLevel="2">
      <c r="A472" s="20"/>
      <c r="B472" s="21"/>
      <c r="C472" s="22" t="s">
        <v>239</v>
      </c>
      <c r="D472" s="13" t="s">
        <v>41</v>
      </c>
      <c r="E472" s="16">
        <v>1</v>
      </c>
      <c r="F472" s="17">
        <f>21.24*1.096*1.25*1.18*1.074*1.118*1.091*1.078*1.077*1.08</f>
        <v>56.4</v>
      </c>
      <c r="G472" s="13"/>
      <c r="H472" s="13" t="s">
        <v>241</v>
      </c>
      <c r="I472" s="13"/>
      <c r="J472" s="13"/>
      <c r="K472" s="15"/>
      <c r="L472" s="15">
        <f>'[5]Раздел №1'!$I$58</f>
        <v>421.6</v>
      </c>
      <c r="M472" s="24"/>
      <c r="N472" s="24">
        <f>E472*F472</f>
        <v>56.4</v>
      </c>
      <c r="O472" s="7" t="s">
        <v>490</v>
      </c>
    </row>
    <row r="473" spans="1:15" ht="12.75" customHeight="1" hidden="1" outlineLevel="2">
      <c r="A473" s="20"/>
      <c r="B473" s="21"/>
      <c r="C473" s="22" t="s">
        <v>63</v>
      </c>
      <c r="D473" s="13" t="s">
        <v>33</v>
      </c>
      <c r="E473" s="16">
        <v>0.018</v>
      </c>
      <c r="F473" s="17">
        <f>24426.83/1120*1.096*1.25*1.18*1.118*1.074*1.091*1.078*1.077*1.08</f>
        <v>57.91</v>
      </c>
      <c r="G473" s="13"/>
      <c r="H473" s="13" t="s">
        <v>241</v>
      </c>
      <c r="I473" s="13"/>
      <c r="J473" s="13"/>
      <c r="K473" s="15"/>
      <c r="L473" s="15">
        <f>'[5]Раздел №1'!$I$58</f>
        <v>421.6</v>
      </c>
      <c r="M473" s="24"/>
      <c r="N473" s="24">
        <f>E473*F473</f>
        <v>1</v>
      </c>
      <c r="O473" s="7" t="s">
        <v>445</v>
      </c>
    </row>
    <row r="474" spans="1:14" ht="15.75" customHeight="1" outlineLevel="1" collapsed="1">
      <c r="A474" s="20"/>
      <c r="B474" s="21" t="s">
        <v>238</v>
      </c>
      <c r="C474" s="22"/>
      <c r="D474" s="13"/>
      <c r="E474" s="16"/>
      <c r="F474" s="32"/>
      <c r="G474" s="13" t="s">
        <v>204</v>
      </c>
      <c r="H474" s="13" t="s">
        <v>245</v>
      </c>
      <c r="I474" s="13">
        <v>1</v>
      </c>
      <c r="J474" s="15">
        <v>1</v>
      </c>
      <c r="K474" s="17">
        <f>I474*J474</f>
        <v>1</v>
      </c>
      <c r="L474" s="15">
        <f>'[5]Раздел №1'!$I$58</f>
        <v>421.6</v>
      </c>
      <c r="M474" s="24">
        <f>K474*L474</f>
        <v>421.6</v>
      </c>
      <c r="N474" s="24">
        <f>SUM(N475:N476)</f>
        <v>114.9</v>
      </c>
    </row>
    <row r="475" spans="1:15" ht="12.75" customHeight="1" hidden="1" outlineLevel="2">
      <c r="A475" s="20"/>
      <c r="B475" s="21"/>
      <c r="C475" s="22" t="s">
        <v>239</v>
      </c>
      <c r="D475" s="13" t="s">
        <v>41</v>
      </c>
      <c r="E475" s="16">
        <f>1*2</f>
        <v>2</v>
      </c>
      <c r="F475" s="17">
        <f>21.24*1.096*1.25*1.18*1.074*1.118*1.091*1.078*1.077*1.08</f>
        <v>56.4</v>
      </c>
      <c r="G475" s="13"/>
      <c r="H475" s="13" t="s">
        <v>241</v>
      </c>
      <c r="I475" s="13"/>
      <c r="J475" s="13"/>
      <c r="K475" s="15"/>
      <c r="L475" s="15"/>
      <c r="M475" s="24"/>
      <c r="N475" s="24">
        <f>E475*F475</f>
        <v>112.8</v>
      </c>
      <c r="O475" s="7" t="s">
        <v>490</v>
      </c>
    </row>
    <row r="476" spans="1:15" ht="12.75" customHeight="1" hidden="1" outlineLevel="2">
      <c r="A476" s="20"/>
      <c r="B476" s="21"/>
      <c r="C476" s="22" t="s">
        <v>63</v>
      </c>
      <c r="D476" s="13" t="s">
        <v>33</v>
      </c>
      <c r="E476" s="16">
        <f>0.018*2</f>
        <v>0.036</v>
      </c>
      <c r="F476" s="118">
        <f>24426.83/1120*1.096*1.25*1.18*1.118*1.074*1.091*1.078*1.077*1.08</f>
        <v>57.91</v>
      </c>
      <c r="G476" s="13"/>
      <c r="H476" s="13" t="s">
        <v>241</v>
      </c>
      <c r="I476" s="13"/>
      <c r="J476" s="13"/>
      <c r="K476" s="15"/>
      <c r="L476" s="15"/>
      <c r="M476" s="24"/>
      <c r="N476" s="24">
        <f>E476*F476</f>
        <v>2.1</v>
      </c>
      <c r="O476" s="7" t="s">
        <v>445</v>
      </c>
    </row>
    <row r="477" spans="1:14" ht="15.75" customHeight="1" outlineLevel="1" collapsed="1">
      <c r="A477" s="20" t="s">
        <v>733</v>
      </c>
      <c r="B477" s="21" t="s">
        <v>246</v>
      </c>
      <c r="C477" s="22"/>
      <c r="D477" s="13"/>
      <c r="E477" s="16"/>
      <c r="F477" s="32"/>
      <c r="G477" s="13"/>
      <c r="H477" s="13"/>
      <c r="I477" s="13"/>
      <c r="J477" s="13"/>
      <c r="K477" s="15"/>
      <c r="L477" s="15"/>
      <c r="M477" s="24"/>
      <c r="N477" s="24"/>
    </row>
    <row r="478" spans="1:14" ht="15.75" customHeight="1" outlineLevel="1">
      <c r="A478" s="20"/>
      <c r="B478" s="21" t="s">
        <v>247</v>
      </c>
      <c r="C478" s="22"/>
      <c r="D478" s="13"/>
      <c r="E478" s="16"/>
      <c r="F478" s="32"/>
      <c r="G478" s="13" t="s">
        <v>124</v>
      </c>
      <c r="H478" s="13" t="s">
        <v>250</v>
      </c>
      <c r="I478" s="13">
        <v>0.18</v>
      </c>
      <c r="J478" s="15">
        <v>1</v>
      </c>
      <c r="K478" s="17">
        <f>I478*J478</f>
        <v>0.18</v>
      </c>
      <c r="L478" s="15">
        <f>'[5]Раздел №1'!$I$58</f>
        <v>421.6</v>
      </c>
      <c r="M478" s="24">
        <f>K478*L478</f>
        <v>75.9</v>
      </c>
      <c r="N478" s="24">
        <f>SUM(N479:N480)</f>
        <v>96.2</v>
      </c>
    </row>
    <row r="479" spans="1:15" ht="12.75" customHeight="1" hidden="1" outlineLevel="2">
      <c r="A479" s="20"/>
      <c r="B479" s="21"/>
      <c r="C479" s="22" t="s">
        <v>248</v>
      </c>
      <c r="D479" s="13" t="s">
        <v>136</v>
      </c>
      <c r="E479" s="16">
        <v>1.13</v>
      </c>
      <c r="F479" s="17">
        <f>31.88*1.096*1.25*1.18*1.074*1.118*1.091*1.078*1.077*1.08</f>
        <v>84.65</v>
      </c>
      <c r="G479" s="13"/>
      <c r="H479" s="13" t="s">
        <v>251</v>
      </c>
      <c r="I479" s="13"/>
      <c r="J479" s="13"/>
      <c r="K479" s="15"/>
      <c r="L479" s="15">
        <f>'[5]Раздел №1'!$I$58</f>
        <v>421.6</v>
      </c>
      <c r="M479" s="24"/>
      <c r="N479" s="24">
        <f>E479*F479</f>
        <v>95.7</v>
      </c>
      <c r="O479" s="7" t="s">
        <v>507</v>
      </c>
    </row>
    <row r="480" spans="1:15" ht="12.75" customHeight="1" hidden="1" outlineLevel="2">
      <c r="A480" s="20"/>
      <c r="B480" s="21"/>
      <c r="C480" s="22" t="s">
        <v>249</v>
      </c>
      <c r="D480" s="13" t="s">
        <v>33</v>
      </c>
      <c r="E480" s="16">
        <v>0.01</v>
      </c>
      <c r="F480" s="17">
        <f>19068.45/1110*1.18*1.096*1.25*1.074*1.118*1.091*1.078*1.077*1.08</f>
        <v>45.62</v>
      </c>
      <c r="G480" s="13"/>
      <c r="H480" s="13" t="s">
        <v>251</v>
      </c>
      <c r="I480" s="13"/>
      <c r="J480" s="13"/>
      <c r="K480" s="15"/>
      <c r="L480" s="15">
        <f>'[5]Раздел №1'!$I$58</f>
        <v>421.6</v>
      </c>
      <c r="M480" s="24"/>
      <c r="N480" s="24">
        <f>E480*F480</f>
        <v>0.5</v>
      </c>
      <c r="O480" s="7" t="s">
        <v>505</v>
      </c>
    </row>
    <row r="481" spans="1:14" ht="15.75" customHeight="1" outlineLevel="1" collapsed="1">
      <c r="A481" s="20"/>
      <c r="B481" s="21" t="s">
        <v>252</v>
      </c>
      <c r="C481" s="22"/>
      <c r="D481" s="13"/>
      <c r="E481" s="16"/>
      <c r="F481" s="32"/>
      <c r="G481" s="13" t="s">
        <v>124</v>
      </c>
      <c r="H481" s="13" t="s">
        <v>255</v>
      </c>
      <c r="I481" s="13">
        <v>0.21</v>
      </c>
      <c r="J481" s="15">
        <v>1</v>
      </c>
      <c r="K481" s="17">
        <f>I481*J481</f>
        <v>0.21</v>
      </c>
      <c r="L481" s="15">
        <f>'[5]Раздел №1'!$I$58</f>
        <v>421.6</v>
      </c>
      <c r="M481" s="24">
        <f>K481*L481</f>
        <v>88.5</v>
      </c>
      <c r="N481" s="24">
        <f>SUM(N482:N483)</f>
        <v>96.1</v>
      </c>
    </row>
    <row r="482" spans="1:15" ht="12.75" customHeight="1" hidden="1" outlineLevel="2">
      <c r="A482" s="20"/>
      <c r="B482" s="21"/>
      <c r="C482" s="22" t="s">
        <v>248</v>
      </c>
      <c r="D482" s="13" t="s">
        <v>136</v>
      </c>
      <c r="E482" s="16">
        <v>1.13</v>
      </c>
      <c r="F482" s="17">
        <f>31.88*1.096*1.25*1.18*1.074*1.118*1.091*1.078*1.077*1.08</f>
        <v>84.65</v>
      </c>
      <c r="G482" s="13"/>
      <c r="H482" s="13" t="s">
        <v>251</v>
      </c>
      <c r="I482" s="13"/>
      <c r="J482" s="13"/>
      <c r="K482" s="15"/>
      <c r="L482" s="15">
        <f>'[5]Раздел №1'!$I$58</f>
        <v>421.6</v>
      </c>
      <c r="M482" s="24"/>
      <c r="N482" s="24">
        <f>E482*F482</f>
        <v>95.7</v>
      </c>
      <c r="O482" s="7" t="s">
        <v>507</v>
      </c>
    </row>
    <row r="483" spans="1:15" ht="12.75" customHeight="1" hidden="1" outlineLevel="2">
      <c r="A483" s="20"/>
      <c r="B483" s="21"/>
      <c r="C483" s="22" t="s">
        <v>63</v>
      </c>
      <c r="D483" s="13" t="s">
        <v>33</v>
      </c>
      <c r="E483" s="16">
        <v>0.007</v>
      </c>
      <c r="F483" s="17">
        <f>24426.83/1120*1.096*1.25*1.18*1.074*1.118*1.091*1.078*1.077*1.08</f>
        <v>57.91</v>
      </c>
      <c r="G483" s="13"/>
      <c r="H483" s="13" t="s">
        <v>251</v>
      </c>
      <c r="I483" s="13"/>
      <c r="J483" s="13"/>
      <c r="K483" s="15"/>
      <c r="L483" s="15">
        <f>'[5]Раздел №1'!$I$58</f>
        <v>421.6</v>
      </c>
      <c r="M483" s="24"/>
      <c r="N483" s="24">
        <f>E483*F483</f>
        <v>0.4</v>
      </c>
      <c r="O483" s="7" t="s">
        <v>445</v>
      </c>
    </row>
    <row r="484" spans="1:14" ht="15.75" customHeight="1" outlineLevel="1" collapsed="1">
      <c r="A484" s="20"/>
      <c r="B484" s="21" t="s">
        <v>253</v>
      </c>
      <c r="C484" s="22"/>
      <c r="D484" s="13"/>
      <c r="E484" s="16"/>
      <c r="F484" s="32"/>
      <c r="G484" s="13" t="s">
        <v>124</v>
      </c>
      <c r="H484" s="13" t="s">
        <v>256</v>
      </c>
      <c r="I484" s="13">
        <v>0.31</v>
      </c>
      <c r="J484" s="15">
        <v>1</v>
      </c>
      <c r="K484" s="17">
        <f>I484*J484</f>
        <v>0.31</v>
      </c>
      <c r="L484" s="15">
        <f>'[5]Раздел №1'!$I$58</f>
        <v>421.6</v>
      </c>
      <c r="M484" s="24">
        <f>K484*L484</f>
        <v>130.7</v>
      </c>
      <c r="N484" s="24">
        <f>SUM(N485:N486)</f>
        <v>191.1</v>
      </c>
    </row>
    <row r="485" spans="1:15" ht="12.75" customHeight="1" hidden="1" outlineLevel="2">
      <c r="A485" s="20"/>
      <c r="B485" s="21"/>
      <c r="C485" s="22" t="s">
        <v>248</v>
      </c>
      <c r="D485" s="13" t="s">
        <v>136</v>
      </c>
      <c r="E485" s="16">
        <v>1.13</v>
      </c>
      <c r="F485" s="17">
        <f>31.88*1.096*1.25*1.18*1.074*1.118*1.091*1.078*1.077*1.08</f>
        <v>84.65</v>
      </c>
      <c r="G485" s="13"/>
      <c r="H485" s="13" t="s">
        <v>251</v>
      </c>
      <c r="I485" s="13"/>
      <c r="J485" s="13"/>
      <c r="K485" s="15"/>
      <c r="L485" s="15">
        <f>'[5]Раздел №1'!$I$58</f>
        <v>421.6</v>
      </c>
      <c r="M485" s="24"/>
      <c r="N485" s="24">
        <f>E485*F485</f>
        <v>95.7</v>
      </c>
      <c r="O485" s="7" t="s">
        <v>507</v>
      </c>
    </row>
    <row r="486" spans="1:14" ht="12.75" customHeight="1" hidden="1" outlineLevel="2">
      <c r="A486" s="20"/>
      <c r="B486" s="21"/>
      <c r="C486" s="22" t="s">
        <v>254</v>
      </c>
      <c r="D486" s="13" t="s">
        <v>41</v>
      </c>
      <c r="E486" s="16">
        <v>1.5</v>
      </c>
      <c r="F486" s="17">
        <f>22*1.089*1.096*1.25*1.18*1.074*1.118*1.091*1.078*1.077*1.08</f>
        <v>63.62</v>
      </c>
      <c r="G486" s="13"/>
      <c r="H486" s="13" t="s">
        <v>251</v>
      </c>
      <c r="I486" s="13"/>
      <c r="J486" s="13"/>
      <c r="K486" s="15"/>
      <c r="L486" s="15">
        <f>'[5]Раздел №1'!$I$58</f>
        <v>421.6</v>
      </c>
      <c r="M486" s="24"/>
      <c r="N486" s="24">
        <f>E486*F486</f>
        <v>95.4</v>
      </c>
    </row>
    <row r="487" spans="1:14" ht="15.75" customHeight="1" outlineLevel="1" collapsed="1">
      <c r="A487" s="20" t="s">
        <v>734</v>
      </c>
      <c r="B487" s="21" t="s">
        <v>257</v>
      </c>
      <c r="C487" s="22"/>
      <c r="D487" s="13"/>
      <c r="E487" s="16"/>
      <c r="F487" s="32"/>
      <c r="G487" s="13" t="s">
        <v>124</v>
      </c>
      <c r="H487" s="13" t="s">
        <v>261</v>
      </c>
      <c r="I487" s="13">
        <v>0.14</v>
      </c>
      <c r="J487" s="15">
        <v>1</v>
      </c>
      <c r="K487" s="17">
        <f>I487*J487</f>
        <v>0.14</v>
      </c>
      <c r="L487" s="15">
        <f>'[5]Раздел №1'!$I$58</f>
        <v>421.6</v>
      </c>
      <c r="M487" s="24">
        <f>K487*L487</f>
        <v>59</v>
      </c>
      <c r="N487" s="24">
        <f>SUM(N488:N491)</f>
        <v>178</v>
      </c>
    </row>
    <row r="488" spans="1:14" ht="12.75" customHeight="1" hidden="1" outlineLevel="2">
      <c r="A488" s="20"/>
      <c r="B488" s="21"/>
      <c r="C488" s="62" t="s">
        <v>258</v>
      </c>
      <c r="D488" s="13" t="s">
        <v>136</v>
      </c>
      <c r="E488" s="16">
        <v>1.1</v>
      </c>
      <c r="F488" s="63">
        <f>30*1.096*1.25*1.18*1.074*1.118*1.091*1.078*1.077*1.08</f>
        <v>79.66</v>
      </c>
      <c r="G488" s="13"/>
      <c r="H488" s="13" t="s">
        <v>262</v>
      </c>
      <c r="I488" s="13"/>
      <c r="J488" s="13"/>
      <c r="K488" s="15"/>
      <c r="L488" s="15">
        <f>'[5]Раздел №1'!$I$58</f>
        <v>421.6</v>
      </c>
      <c r="M488" s="24"/>
      <c r="N488" s="24">
        <f>E488*F488</f>
        <v>87.6</v>
      </c>
    </row>
    <row r="489" spans="1:15" ht="12.75" customHeight="1" hidden="1" outlineLevel="2">
      <c r="A489" s="20"/>
      <c r="B489" s="21"/>
      <c r="C489" s="22" t="s">
        <v>259</v>
      </c>
      <c r="D489" s="13" t="s">
        <v>136</v>
      </c>
      <c r="E489" s="16">
        <v>1.1</v>
      </c>
      <c r="F489" s="17">
        <f>2953.9/100*1.18*1.096*1.25*1.074*1.118*1.091*1.078*1.077*1.08</f>
        <v>78.44</v>
      </c>
      <c r="G489" s="13"/>
      <c r="H489" s="13" t="s">
        <v>262</v>
      </c>
      <c r="I489" s="13"/>
      <c r="J489" s="13"/>
      <c r="K489" s="15"/>
      <c r="L489" s="15">
        <f>'[5]Раздел №1'!$I$58</f>
        <v>421.6</v>
      </c>
      <c r="M489" s="24"/>
      <c r="N489" s="24">
        <f>E489*F489</f>
        <v>86.3</v>
      </c>
      <c r="O489" s="7" t="s">
        <v>481</v>
      </c>
    </row>
    <row r="490" spans="1:15" ht="12.75" customHeight="1" hidden="1" outlineLevel="2">
      <c r="A490" s="20"/>
      <c r="B490" s="21"/>
      <c r="C490" s="22" t="s">
        <v>260</v>
      </c>
      <c r="D490" s="13" t="s">
        <v>33</v>
      </c>
      <c r="E490" s="16">
        <v>0.033</v>
      </c>
      <c r="F490" s="17">
        <f>36923.24/1120*1.18*1.096*1.25*1.074*1.118*1.091*1.078*1.077*1.08</f>
        <v>87.54</v>
      </c>
      <c r="G490" s="13"/>
      <c r="H490" s="13" t="s">
        <v>262</v>
      </c>
      <c r="I490" s="13"/>
      <c r="J490" s="13"/>
      <c r="K490" s="15"/>
      <c r="L490" s="15">
        <f>'[5]Раздел №1'!$I$58</f>
        <v>421.6</v>
      </c>
      <c r="M490" s="24"/>
      <c r="N490" s="24">
        <f>E490*F490</f>
        <v>2.9</v>
      </c>
      <c r="O490" s="7" t="s">
        <v>472</v>
      </c>
    </row>
    <row r="491" spans="1:15" ht="12.75" customHeight="1" hidden="1" outlineLevel="2">
      <c r="A491" s="20"/>
      <c r="B491" s="21"/>
      <c r="C491" s="22" t="s">
        <v>218</v>
      </c>
      <c r="D491" s="13" t="s">
        <v>33</v>
      </c>
      <c r="E491" s="16">
        <v>0.01</v>
      </c>
      <c r="F491" s="17">
        <f>43.75*1.18*1.096*1.25*1.074*1.118*1.091*1.078*1.077*1.08</f>
        <v>116.17</v>
      </c>
      <c r="G491" s="13"/>
      <c r="H491" s="13" t="s">
        <v>262</v>
      </c>
      <c r="I491" s="13"/>
      <c r="J491" s="13"/>
      <c r="K491" s="15"/>
      <c r="L491" s="15">
        <f>'[5]Раздел №1'!$I$58</f>
        <v>421.6</v>
      </c>
      <c r="M491" s="24"/>
      <c r="N491" s="24">
        <f>E491*F491</f>
        <v>1.2</v>
      </c>
      <c r="O491" s="7" t="s">
        <v>521</v>
      </c>
    </row>
    <row r="492" spans="1:14" ht="15.75" customHeight="1" outlineLevel="1" collapsed="1">
      <c r="A492" s="20" t="s">
        <v>735</v>
      </c>
      <c r="B492" s="21" t="s">
        <v>263</v>
      </c>
      <c r="C492" s="22"/>
      <c r="D492" s="13"/>
      <c r="E492" s="16"/>
      <c r="F492" s="32"/>
      <c r="G492" s="13" t="s">
        <v>124</v>
      </c>
      <c r="H492" s="13" t="s">
        <v>265</v>
      </c>
      <c r="I492" s="13">
        <v>0.06</v>
      </c>
      <c r="J492" s="15">
        <v>1</v>
      </c>
      <c r="K492" s="17">
        <f>I492*J492</f>
        <v>0.06</v>
      </c>
      <c r="L492" s="15">
        <f>'[5]Раздел №1'!$I$58</f>
        <v>421.6</v>
      </c>
      <c r="M492" s="24">
        <f>K492*L492</f>
        <v>25.3</v>
      </c>
      <c r="N492" s="24">
        <f>SUM(N493:N493)</f>
        <v>0.5</v>
      </c>
    </row>
    <row r="493" spans="1:15" ht="12.75" customHeight="1" hidden="1" outlineLevel="2">
      <c r="A493" s="20"/>
      <c r="B493" s="21"/>
      <c r="C493" s="22" t="s">
        <v>249</v>
      </c>
      <c r="D493" s="13" t="s">
        <v>33</v>
      </c>
      <c r="E493" s="16">
        <v>0.01</v>
      </c>
      <c r="F493" s="17">
        <f>19068.45/1110*1.18*1.096*1.25*1.074*1.118*1.091*1.078*1.077*1.08</f>
        <v>45.62</v>
      </c>
      <c r="G493" s="13"/>
      <c r="H493" s="13" t="s">
        <v>264</v>
      </c>
      <c r="I493" s="13"/>
      <c r="J493" s="13"/>
      <c r="K493" s="15"/>
      <c r="L493" s="15"/>
      <c r="M493" s="24"/>
      <c r="N493" s="24">
        <f>E493*F493</f>
        <v>0.5</v>
      </c>
      <c r="O493" s="7" t="s">
        <v>505</v>
      </c>
    </row>
    <row r="494" spans="1:14" ht="14.25" customHeight="1" outlineLevel="1" collapsed="1">
      <c r="A494" s="20" t="s">
        <v>736</v>
      </c>
      <c r="B494" s="21" t="s">
        <v>266</v>
      </c>
      <c r="C494" s="22"/>
      <c r="D494" s="13"/>
      <c r="E494" s="16"/>
      <c r="F494" s="32"/>
      <c r="G494" s="13"/>
      <c r="H494" s="13"/>
      <c r="I494" s="13"/>
      <c r="J494" s="15"/>
      <c r="K494" s="17"/>
      <c r="L494" s="15"/>
      <c r="M494" s="24"/>
      <c r="N494" s="24"/>
    </row>
    <row r="495" spans="1:14" ht="15.75" customHeight="1" outlineLevel="1">
      <c r="A495" s="20"/>
      <c r="B495" s="21" t="s">
        <v>269</v>
      </c>
      <c r="C495" s="22"/>
      <c r="D495" s="13"/>
      <c r="E495" s="16"/>
      <c r="F495" s="32"/>
      <c r="G495" s="13" t="s">
        <v>124</v>
      </c>
      <c r="H495" s="13" t="s">
        <v>267</v>
      </c>
      <c r="I495" s="13">
        <v>0.65</v>
      </c>
      <c r="J495" s="15">
        <v>1</v>
      </c>
      <c r="K495" s="17">
        <f>I495*J495</f>
        <v>0.65</v>
      </c>
      <c r="L495" s="15">
        <f>'[5]Раздел №1'!$I$58</f>
        <v>421.6</v>
      </c>
      <c r="M495" s="24">
        <f>K495*L495</f>
        <v>274</v>
      </c>
      <c r="N495" s="24">
        <f>SUM(N496)</f>
        <v>10.3</v>
      </c>
    </row>
    <row r="496" spans="1:15" ht="12.75" customHeight="1" hidden="1" outlineLevel="2">
      <c r="A496" s="20"/>
      <c r="B496" s="21"/>
      <c r="C496" s="22" t="s">
        <v>270</v>
      </c>
      <c r="D496" s="13" t="s">
        <v>33</v>
      </c>
      <c r="E496" s="16">
        <f>16.1/100</f>
        <v>0.161</v>
      </c>
      <c r="F496" s="17">
        <f>23.98*1.18*1.096*1.25*1.074*1.118*1.091*1.078*1.077*1.08</f>
        <v>63.68</v>
      </c>
      <c r="G496" s="13"/>
      <c r="H496" s="13" t="s">
        <v>264</v>
      </c>
      <c r="I496" s="13"/>
      <c r="J496" s="13"/>
      <c r="K496" s="15"/>
      <c r="L496" s="15">
        <f>'[5]Раздел №1'!$I$58</f>
        <v>421.6</v>
      </c>
      <c r="M496" s="24"/>
      <c r="N496" s="24">
        <f>E496*F496</f>
        <v>10.3</v>
      </c>
      <c r="O496" s="7" t="s">
        <v>479</v>
      </c>
    </row>
    <row r="497" spans="1:14" ht="12.75" customHeight="1" outlineLevel="1" collapsed="1">
      <c r="A497" s="20"/>
      <c r="B497" s="21" t="s">
        <v>271</v>
      </c>
      <c r="C497" s="22"/>
      <c r="D497" s="13"/>
      <c r="E497" s="16"/>
      <c r="F497" s="32"/>
      <c r="G497" s="13" t="s">
        <v>124</v>
      </c>
      <c r="H497" s="13" t="s">
        <v>272</v>
      </c>
      <c r="I497" s="13">
        <v>0.84</v>
      </c>
      <c r="J497" s="15">
        <v>1</v>
      </c>
      <c r="K497" s="17">
        <f>I497*J497</f>
        <v>0.84</v>
      </c>
      <c r="L497" s="15">
        <f>'[5]Раздел №1'!$I$58</f>
        <v>421.6</v>
      </c>
      <c r="M497" s="24">
        <f>K497*L497</f>
        <v>354.1</v>
      </c>
      <c r="N497" s="24">
        <f>SUM(N498)</f>
        <v>7.4</v>
      </c>
    </row>
    <row r="498" spans="1:15" ht="12.75" customHeight="1" hidden="1" outlineLevel="2">
      <c r="A498" s="20"/>
      <c r="B498" s="21"/>
      <c r="C498" s="65" t="s">
        <v>268</v>
      </c>
      <c r="D498" s="13" t="s">
        <v>33</v>
      </c>
      <c r="E498" s="16">
        <f>11.6/100</f>
        <v>0.116</v>
      </c>
      <c r="F498" s="17">
        <f>23.98*1.18*1.096*1.25*1.074*1.118*1.091*1.078*1.077*1.08</f>
        <v>63.68</v>
      </c>
      <c r="G498" s="13"/>
      <c r="H498" s="13" t="s">
        <v>264</v>
      </c>
      <c r="I498" s="13"/>
      <c r="J498" s="13"/>
      <c r="K498" s="15"/>
      <c r="L498" s="15"/>
      <c r="M498" s="24"/>
      <c r="N498" s="24">
        <f>E498*F498</f>
        <v>7.4</v>
      </c>
      <c r="O498" s="7" t="s">
        <v>479</v>
      </c>
    </row>
    <row r="499" spans="1:14" ht="12.75" customHeight="1" outlineLevel="1" collapsed="1">
      <c r="A499" s="20" t="s">
        <v>737</v>
      </c>
      <c r="B499" s="21" t="s">
        <v>285</v>
      </c>
      <c r="C499" s="22"/>
      <c r="D499" s="13"/>
      <c r="E499" s="16"/>
      <c r="F499" s="32"/>
      <c r="G499" s="13"/>
      <c r="H499" s="13"/>
      <c r="I499" s="13"/>
      <c r="J499" s="13"/>
      <c r="K499" s="15"/>
      <c r="L499" s="15"/>
      <c r="M499" s="24"/>
      <c r="N499" s="24"/>
    </row>
    <row r="500" spans="1:14" ht="12.75" customHeight="1" outlineLevel="1">
      <c r="A500" s="20"/>
      <c r="B500" s="21" t="s">
        <v>273</v>
      </c>
      <c r="C500" s="22"/>
      <c r="D500" s="13"/>
      <c r="E500" s="16"/>
      <c r="F500" s="32"/>
      <c r="G500" s="13" t="s">
        <v>23</v>
      </c>
      <c r="H500" s="13" t="s">
        <v>355</v>
      </c>
      <c r="I500" s="17">
        <f>147.6/1000</f>
        <v>0.15</v>
      </c>
      <c r="J500" s="15">
        <v>1.2</v>
      </c>
      <c r="K500" s="17">
        <f>I500*J500</f>
        <v>0.18</v>
      </c>
      <c r="L500" s="15">
        <f>'[5]Раздел №1'!$I$58</f>
        <v>421.6</v>
      </c>
      <c r="M500" s="24">
        <f>K500*L500</f>
        <v>75.9</v>
      </c>
      <c r="N500" s="24">
        <f>SUM(N501:N502)</f>
        <v>5.8</v>
      </c>
    </row>
    <row r="501" spans="1:14" ht="12.75" customHeight="1" hidden="1" outlineLevel="2">
      <c r="A501" s="20"/>
      <c r="B501" s="21"/>
      <c r="C501" s="22" t="s">
        <v>274</v>
      </c>
      <c r="D501" s="13" t="s">
        <v>41</v>
      </c>
      <c r="E501" s="16">
        <f>100/100</f>
        <v>1</v>
      </c>
      <c r="F501" s="17"/>
      <c r="G501" s="13"/>
      <c r="H501" s="13" t="s">
        <v>355</v>
      </c>
      <c r="I501" s="17"/>
      <c r="J501" s="13"/>
      <c r="K501" s="15"/>
      <c r="L501" s="15">
        <f>'[5]Раздел №1'!$I$58</f>
        <v>421.6</v>
      </c>
      <c r="M501" s="24"/>
      <c r="N501" s="24">
        <f>E501*F501</f>
        <v>0</v>
      </c>
    </row>
    <row r="502" spans="1:15" ht="12.75" customHeight="1" hidden="1" outlineLevel="2">
      <c r="A502" s="20"/>
      <c r="B502" s="21"/>
      <c r="C502" s="22" t="s">
        <v>63</v>
      </c>
      <c r="D502" s="13" t="s">
        <v>33</v>
      </c>
      <c r="E502" s="16">
        <f>0.01*1000/100</f>
        <v>0.1</v>
      </c>
      <c r="F502" s="17">
        <f>24426.83/1120*1.096*1.25*1.18*1.074*1.118*1.091*1.078*1.077*1.08</f>
        <v>57.91</v>
      </c>
      <c r="G502" s="13"/>
      <c r="H502" s="13" t="s">
        <v>355</v>
      </c>
      <c r="I502" s="17"/>
      <c r="J502" s="13"/>
      <c r="K502" s="15"/>
      <c r="L502" s="15">
        <f>'[5]Раздел №1'!$I$58</f>
        <v>421.6</v>
      </c>
      <c r="M502" s="24"/>
      <c r="N502" s="24">
        <f>E502*F502</f>
        <v>5.8</v>
      </c>
      <c r="O502" s="7" t="s">
        <v>445</v>
      </c>
    </row>
    <row r="503" spans="1:14" ht="12.75" customHeight="1" outlineLevel="1" collapsed="1">
      <c r="A503" s="20"/>
      <c r="B503" s="21" t="s">
        <v>275</v>
      </c>
      <c r="C503" s="22"/>
      <c r="D503" s="13"/>
      <c r="E503" s="16"/>
      <c r="F503" s="32"/>
      <c r="G503" s="13" t="s">
        <v>23</v>
      </c>
      <c r="H503" s="13" t="s">
        <v>354</v>
      </c>
      <c r="I503" s="17">
        <f>32.76/100</f>
        <v>0.33</v>
      </c>
      <c r="J503" s="15">
        <v>1.2</v>
      </c>
      <c r="K503" s="17">
        <f>I503*J503</f>
        <v>0.4</v>
      </c>
      <c r="L503" s="15">
        <f>'[5]Раздел №1'!$I$58</f>
        <v>421.6</v>
      </c>
      <c r="M503" s="24">
        <f>K503*L503</f>
        <v>168.6</v>
      </c>
      <c r="N503" s="24">
        <f>SUM(N504:N505)</f>
        <v>2.3</v>
      </c>
    </row>
    <row r="504" spans="1:14" ht="12.75" customHeight="1" hidden="1" outlineLevel="2">
      <c r="A504" s="20"/>
      <c r="B504" s="21"/>
      <c r="C504" s="22" t="s">
        <v>276</v>
      </c>
      <c r="D504" s="13" t="s">
        <v>41</v>
      </c>
      <c r="E504" s="16">
        <f>100/100</f>
        <v>1</v>
      </c>
      <c r="F504" s="17"/>
      <c r="G504" s="13"/>
      <c r="H504" s="13" t="s">
        <v>354</v>
      </c>
      <c r="I504" s="17"/>
      <c r="J504" s="13"/>
      <c r="K504" s="15"/>
      <c r="L504" s="15">
        <f>'[5]Раздел №1'!$I$58</f>
        <v>421.6</v>
      </c>
      <c r="M504" s="24"/>
      <c r="N504" s="24">
        <f>E504*F504</f>
        <v>0</v>
      </c>
    </row>
    <row r="505" spans="1:15" ht="12.75" customHeight="1" hidden="1" outlineLevel="2">
      <c r="A505" s="20"/>
      <c r="B505" s="21"/>
      <c r="C505" s="22" t="s">
        <v>63</v>
      </c>
      <c r="D505" s="13" t="s">
        <v>33</v>
      </c>
      <c r="E505" s="16">
        <f>0.004*1000/100</f>
        <v>0.04</v>
      </c>
      <c r="F505" s="17">
        <f>24426.83/1120*1.096*1.25*1.18*1.074*1.118*1.091*1.078*1.077*1.08</f>
        <v>57.91</v>
      </c>
      <c r="G505" s="13"/>
      <c r="H505" s="13" t="s">
        <v>354</v>
      </c>
      <c r="I505" s="17"/>
      <c r="J505" s="13"/>
      <c r="K505" s="15"/>
      <c r="L505" s="15">
        <f>'[5]Раздел №1'!$I$58</f>
        <v>421.6</v>
      </c>
      <c r="M505" s="24"/>
      <c r="N505" s="24">
        <f>E505*F505</f>
        <v>2.3</v>
      </c>
      <c r="O505" s="7" t="s">
        <v>445</v>
      </c>
    </row>
    <row r="506" spans="1:14" ht="12.75" customHeight="1" outlineLevel="1" collapsed="1">
      <c r="A506" s="20"/>
      <c r="B506" s="21" t="s">
        <v>277</v>
      </c>
      <c r="C506" s="22"/>
      <c r="D506" s="13"/>
      <c r="E506" s="16"/>
      <c r="F506" s="32"/>
      <c r="G506" s="13" t="s">
        <v>23</v>
      </c>
      <c r="H506" s="13" t="s">
        <v>353</v>
      </c>
      <c r="I506" s="17">
        <f>16.32/100</f>
        <v>0.16</v>
      </c>
      <c r="J506" s="15">
        <v>1.2</v>
      </c>
      <c r="K506" s="17">
        <f>I506*J506</f>
        <v>0.19</v>
      </c>
      <c r="L506" s="15">
        <f>'[5]Раздел №1'!$I$58</f>
        <v>421.6</v>
      </c>
      <c r="M506" s="24">
        <f>K506*L506</f>
        <v>80.1</v>
      </c>
      <c r="N506" s="24">
        <f>SUM(N507:N508)</f>
        <v>2.3</v>
      </c>
    </row>
    <row r="507" spans="1:14" ht="12.75" customHeight="1" hidden="1" outlineLevel="2">
      <c r="A507" s="20"/>
      <c r="B507" s="21"/>
      <c r="C507" s="22" t="s">
        <v>278</v>
      </c>
      <c r="D507" s="13" t="s">
        <v>41</v>
      </c>
      <c r="E507" s="16">
        <f>100/100</f>
        <v>1</v>
      </c>
      <c r="F507" s="17"/>
      <c r="G507" s="13"/>
      <c r="H507" s="13" t="s">
        <v>353</v>
      </c>
      <c r="I507" s="17"/>
      <c r="J507" s="13"/>
      <c r="K507" s="15"/>
      <c r="L507" s="15">
        <f>'[5]Раздел №1'!$I$58</f>
        <v>421.6</v>
      </c>
      <c r="M507" s="24"/>
      <c r="N507" s="24">
        <f>E507*F507</f>
        <v>0</v>
      </c>
    </row>
    <row r="508" spans="1:15" ht="12.75" customHeight="1" hidden="1" outlineLevel="2">
      <c r="A508" s="20"/>
      <c r="B508" s="21"/>
      <c r="C508" s="22" t="s">
        <v>63</v>
      </c>
      <c r="D508" s="13" t="s">
        <v>33</v>
      </c>
      <c r="E508" s="16">
        <f>0.004*1000/100</f>
        <v>0.04</v>
      </c>
      <c r="F508" s="17">
        <f>24426.83/1120*1.096*1.25*1.18*1.074*1.118*1.091*1.078*1.077*1.08</f>
        <v>57.91</v>
      </c>
      <c r="G508" s="13"/>
      <c r="H508" s="13" t="s">
        <v>353</v>
      </c>
      <c r="I508" s="17"/>
      <c r="J508" s="13"/>
      <c r="K508" s="15"/>
      <c r="L508" s="15">
        <f>'[5]Раздел №1'!$I$58</f>
        <v>421.6</v>
      </c>
      <c r="M508" s="24"/>
      <c r="N508" s="24">
        <f>E508*F508</f>
        <v>2.3</v>
      </c>
      <c r="O508" s="7" t="s">
        <v>445</v>
      </c>
    </row>
    <row r="509" spans="1:14" ht="12.75" customHeight="1" outlineLevel="1" collapsed="1">
      <c r="A509" s="20"/>
      <c r="B509" s="21" t="s">
        <v>279</v>
      </c>
      <c r="C509" s="22"/>
      <c r="D509" s="13"/>
      <c r="E509" s="16"/>
      <c r="F509" s="32"/>
      <c r="G509" s="13" t="s">
        <v>23</v>
      </c>
      <c r="H509" s="13" t="s">
        <v>352</v>
      </c>
      <c r="I509" s="17">
        <f>73.2/100</f>
        <v>0.73</v>
      </c>
      <c r="J509" s="15">
        <v>1.2</v>
      </c>
      <c r="K509" s="17">
        <f>I509*J509</f>
        <v>0.88</v>
      </c>
      <c r="L509" s="15">
        <f>'[5]Раздел №1'!$I$58</f>
        <v>421.6</v>
      </c>
      <c r="M509" s="24">
        <f>K509*L509</f>
        <v>371</v>
      </c>
      <c r="N509" s="24">
        <f>SUM(N510:N511)</f>
        <v>2.3</v>
      </c>
    </row>
    <row r="510" spans="1:15" ht="12.75" customHeight="1" hidden="1" outlineLevel="2">
      <c r="A510" s="20"/>
      <c r="B510" s="21"/>
      <c r="C510" s="22" t="s">
        <v>280</v>
      </c>
      <c r="D510" s="13" t="s">
        <v>41</v>
      </c>
      <c r="E510" s="16">
        <f>100/100</f>
        <v>1</v>
      </c>
      <c r="F510" s="17"/>
      <c r="G510" s="13"/>
      <c r="H510" s="13" t="s">
        <v>352</v>
      </c>
      <c r="I510" s="17"/>
      <c r="J510" s="13"/>
      <c r="K510" s="15"/>
      <c r="L510" s="15">
        <f>'[5]Раздел №1'!$I$58</f>
        <v>421.6</v>
      </c>
      <c r="M510" s="24"/>
      <c r="N510" s="24">
        <f>E510*F510</f>
        <v>0</v>
      </c>
      <c r="O510" s="7" t="s">
        <v>480</v>
      </c>
    </row>
    <row r="511" spans="1:15" ht="12.75" customHeight="1" hidden="1" outlineLevel="2">
      <c r="A511" s="20"/>
      <c r="B511" s="21"/>
      <c r="C511" s="22" t="s">
        <v>63</v>
      </c>
      <c r="D511" s="13" t="s">
        <v>33</v>
      </c>
      <c r="E511" s="16">
        <f>0.004*1000/100</f>
        <v>0.04</v>
      </c>
      <c r="F511" s="17">
        <f>24426.83/1120*1.096*1.25*1.18*1.074*1.118*1.091*1.078*1.077*1.08</f>
        <v>57.91</v>
      </c>
      <c r="G511" s="13"/>
      <c r="H511" s="13" t="s">
        <v>352</v>
      </c>
      <c r="I511" s="17"/>
      <c r="J511" s="13"/>
      <c r="K511" s="15"/>
      <c r="L511" s="15">
        <f>'[5]Раздел №1'!$I$58</f>
        <v>421.6</v>
      </c>
      <c r="M511" s="24"/>
      <c r="N511" s="24">
        <f>E511*F511</f>
        <v>2.3</v>
      </c>
      <c r="O511" s="7" t="s">
        <v>445</v>
      </c>
    </row>
    <row r="512" spans="1:14" ht="12.75" customHeight="1" outlineLevel="1" collapsed="1">
      <c r="A512" s="20"/>
      <c r="B512" s="21" t="s">
        <v>281</v>
      </c>
      <c r="C512" s="22"/>
      <c r="D512" s="13"/>
      <c r="E512" s="16"/>
      <c r="F512" s="32"/>
      <c r="G512" s="13" t="s">
        <v>23</v>
      </c>
      <c r="H512" s="13" t="s">
        <v>351</v>
      </c>
      <c r="I512" s="17">
        <f>106.8/100</f>
        <v>1.07</v>
      </c>
      <c r="J512" s="15">
        <v>1.2</v>
      </c>
      <c r="K512" s="17">
        <f>I512*J512</f>
        <v>1.28</v>
      </c>
      <c r="L512" s="15">
        <f>'[5]Раздел №1'!$I$58</f>
        <v>421.6</v>
      </c>
      <c r="M512" s="24">
        <f>K512*L512</f>
        <v>539.6</v>
      </c>
      <c r="N512" s="24">
        <f>SUM(N513:N514)</f>
        <v>4.6</v>
      </c>
    </row>
    <row r="513" spans="1:14" ht="12.75" customHeight="1" hidden="1" outlineLevel="2">
      <c r="A513" s="20"/>
      <c r="B513" s="21"/>
      <c r="C513" s="22" t="s">
        <v>283</v>
      </c>
      <c r="D513" s="13" t="s">
        <v>41</v>
      </c>
      <c r="E513" s="16">
        <f>100/100</f>
        <v>1</v>
      </c>
      <c r="F513" s="17"/>
      <c r="G513" s="13"/>
      <c r="H513" s="13" t="s">
        <v>351</v>
      </c>
      <c r="I513" s="17"/>
      <c r="J513" s="13"/>
      <c r="K513" s="15"/>
      <c r="L513" s="15">
        <f>'[5]Раздел №1'!$I$58</f>
        <v>421.6</v>
      </c>
      <c r="M513" s="24"/>
      <c r="N513" s="24">
        <f>E513*F513</f>
        <v>0</v>
      </c>
    </row>
    <row r="514" spans="1:15" ht="12.75" customHeight="1" hidden="1" outlineLevel="2">
      <c r="A514" s="20"/>
      <c r="B514" s="21"/>
      <c r="C514" s="22" t="s">
        <v>63</v>
      </c>
      <c r="D514" s="13" t="s">
        <v>33</v>
      </c>
      <c r="E514" s="16">
        <f>0.008*1000/100</f>
        <v>0.08</v>
      </c>
      <c r="F514" s="17">
        <f>24426.83/1120*1.096*1.25*1.18*1.074*1.118*1.091*1.078*1.077*1.08</f>
        <v>57.91</v>
      </c>
      <c r="G514" s="13"/>
      <c r="H514" s="13" t="s">
        <v>351</v>
      </c>
      <c r="I514" s="17"/>
      <c r="J514" s="13"/>
      <c r="K514" s="15"/>
      <c r="L514" s="15">
        <f>'[5]Раздел №1'!$I$58</f>
        <v>421.6</v>
      </c>
      <c r="M514" s="24"/>
      <c r="N514" s="24">
        <f>E514*F514</f>
        <v>4.6</v>
      </c>
      <c r="O514" s="7" t="s">
        <v>445</v>
      </c>
    </row>
    <row r="515" spans="1:14" ht="12.75" customHeight="1" outlineLevel="1" collapsed="1">
      <c r="A515" s="20"/>
      <c r="B515" s="21" t="s">
        <v>282</v>
      </c>
      <c r="C515" s="22"/>
      <c r="D515" s="13"/>
      <c r="E515" s="16"/>
      <c r="F515" s="32"/>
      <c r="G515" s="13" t="s">
        <v>23</v>
      </c>
      <c r="H515" s="13" t="s">
        <v>350</v>
      </c>
      <c r="I515" s="17">
        <f>32.76/100</f>
        <v>0.33</v>
      </c>
      <c r="J515" s="15">
        <v>1.2</v>
      </c>
      <c r="K515" s="17">
        <f>I515*J515</f>
        <v>0.4</v>
      </c>
      <c r="L515" s="15">
        <f>'[5]Раздел №1'!$I$58</f>
        <v>421.6</v>
      </c>
      <c r="M515" s="24">
        <f>K515*L515</f>
        <v>168.6</v>
      </c>
      <c r="N515" s="24">
        <f>SUM(N516:N517)</f>
        <v>55.4</v>
      </c>
    </row>
    <row r="516" spans="1:15" ht="12.75" customHeight="1" hidden="1" outlineLevel="2">
      <c r="A516" s="20"/>
      <c r="B516" s="21"/>
      <c r="C516" s="22" t="s">
        <v>284</v>
      </c>
      <c r="D516" s="13" t="s">
        <v>41</v>
      </c>
      <c r="E516" s="16">
        <f>100/100</f>
        <v>1</v>
      </c>
      <c r="F516" s="17">
        <f>20*1.18*1.096*1.25*1.074*1.118*1.091*1.078*1.077*1.08</f>
        <v>53.11</v>
      </c>
      <c r="G516" s="13"/>
      <c r="H516" s="13" t="s">
        <v>350</v>
      </c>
      <c r="I516" s="17"/>
      <c r="J516" s="13"/>
      <c r="K516" s="15"/>
      <c r="L516" s="15">
        <f>'[5]Раздел №1'!$I$58</f>
        <v>421.6</v>
      </c>
      <c r="M516" s="24"/>
      <c r="N516" s="24">
        <f>E516*F516</f>
        <v>53.1</v>
      </c>
      <c r="O516" s="7" t="s">
        <v>477</v>
      </c>
    </row>
    <row r="517" spans="1:15" ht="12.75" customHeight="1" hidden="1" outlineLevel="2">
      <c r="A517" s="20"/>
      <c r="B517" s="21"/>
      <c r="C517" s="22" t="s">
        <v>63</v>
      </c>
      <c r="D517" s="13" t="s">
        <v>33</v>
      </c>
      <c r="E517" s="16">
        <f>0.004*1000/100</f>
        <v>0.04</v>
      </c>
      <c r="F517" s="17">
        <f>24426.83/1120*1.096*1.25*1.18*1.074*1.118*1.091*1.078*1.077*1.08</f>
        <v>57.91</v>
      </c>
      <c r="G517" s="13"/>
      <c r="H517" s="13" t="s">
        <v>350</v>
      </c>
      <c r="I517" s="17"/>
      <c r="J517" s="13"/>
      <c r="K517" s="15"/>
      <c r="L517" s="15">
        <f>'[5]Раздел №1'!$I$58</f>
        <v>421.6</v>
      </c>
      <c r="M517" s="24"/>
      <c r="N517" s="24">
        <f>E517*F517</f>
        <v>2.3</v>
      </c>
      <c r="O517" s="7" t="s">
        <v>445</v>
      </c>
    </row>
    <row r="518" spans="1:14" ht="12.75" customHeight="1" outlineLevel="1" collapsed="1">
      <c r="A518" s="20"/>
      <c r="B518" s="21" t="s">
        <v>286</v>
      </c>
      <c r="C518" s="22"/>
      <c r="D518" s="13"/>
      <c r="E518" s="16"/>
      <c r="F518" s="32"/>
      <c r="G518" s="13" t="s">
        <v>23</v>
      </c>
      <c r="H518" s="13" t="s">
        <v>349</v>
      </c>
      <c r="I518" s="17">
        <f>57.24/100</f>
        <v>0.57</v>
      </c>
      <c r="J518" s="15">
        <v>1.2</v>
      </c>
      <c r="K518" s="17">
        <f>I518*J518</f>
        <v>0.68</v>
      </c>
      <c r="L518" s="15">
        <f>'[5]Раздел №1'!$I$58</f>
        <v>421.6</v>
      </c>
      <c r="M518" s="24">
        <f>K518*L518</f>
        <v>286.7</v>
      </c>
      <c r="N518" s="24">
        <f>SUM(N519:N520)</f>
        <v>2.3</v>
      </c>
    </row>
    <row r="519" spans="1:14" ht="12.75" customHeight="1" hidden="1" outlineLevel="2">
      <c r="A519" s="20"/>
      <c r="B519" s="21"/>
      <c r="C519" s="22" t="s">
        <v>287</v>
      </c>
      <c r="D519" s="13" t="s">
        <v>41</v>
      </c>
      <c r="E519" s="16">
        <f>100/100</f>
        <v>1</v>
      </c>
      <c r="F519" s="17"/>
      <c r="G519" s="13"/>
      <c r="H519" s="13" t="s">
        <v>349</v>
      </c>
      <c r="I519" s="17"/>
      <c r="J519" s="13"/>
      <c r="K519" s="15"/>
      <c r="L519" s="15"/>
      <c r="M519" s="24"/>
      <c r="N519" s="24">
        <f>E519*F519</f>
        <v>0</v>
      </c>
    </row>
    <row r="520" spans="1:15" ht="12.75" customHeight="1" hidden="1" outlineLevel="2">
      <c r="A520" s="20"/>
      <c r="B520" s="21"/>
      <c r="C520" s="22" t="s">
        <v>63</v>
      </c>
      <c r="D520" s="13" t="s">
        <v>33</v>
      </c>
      <c r="E520" s="16">
        <f>0.004*1000/100</f>
        <v>0.04</v>
      </c>
      <c r="F520" s="17">
        <f>24426.83/1120*1.096*1.25*1.18*1.074*1.118*1.091*1.078*1.077*1.08</f>
        <v>57.91</v>
      </c>
      <c r="G520" s="13"/>
      <c r="H520" s="13" t="s">
        <v>349</v>
      </c>
      <c r="I520" s="17"/>
      <c r="J520" s="13"/>
      <c r="K520" s="15"/>
      <c r="L520" s="15"/>
      <c r="M520" s="24"/>
      <c r="N520" s="24">
        <f>E520*F520</f>
        <v>2.3</v>
      </c>
      <c r="O520" s="7" t="s">
        <v>445</v>
      </c>
    </row>
    <row r="521" spans="1:14" ht="12.75" customHeight="1" outlineLevel="1" collapsed="1">
      <c r="A521" s="20" t="s">
        <v>738</v>
      </c>
      <c r="B521" s="21" t="s">
        <v>288</v>
      </c>
      <c r="C521" s="22"/>
      <c r="D521" s="13"/>
      <c r="E521" s="16"/>
      <c r="F521" s="32"/>
      <c r="G521" s="13"/>
      <c r="H521" s="13"/>
      <c r="I521" s="13"/>
      <c r="J521" s="13"/>
      <c r="K521" s="15"/>
      <c r="L521" s="15"/>
      <c r="M521" s="24"/>
      <c r="N521" s="24"/>
    </row>
    <row r="522" spans="1:14" ht="12.75" customHeight="1" outlineLevel="1">
      <c r="A522" s="20"/>
      <c r="B522" s="21" t="s">
        <v>289</v>
      </c>
      <c r="C522" s="22"/>
      <c r="D522" s="13"/>
      <c r="E522" s="16"/>
      <c r="F522" s="32"/>
      <c r="G522" s="13" t="s">
        <v>23</v>
      </c>
      <c r="H522" s="13" t="s">
        <v>348</v>
      </c>
      <c r="I522" s="17">
        <f>24.6/100</f>
        <v>0.25</v>
      </c>
      <c r="J522" s="15">
        <v>1.2</v>
      </c>
      <c r="K522" s="17">
        <f>I522*J522</f>
        <v>0.3</v>
      </c>
      <c r="L522" s="15">
        <f>'[5]Раздел №1'!$I$58</f>
        <v>421.6</v>
      </c>
      <c r="M522" s="24">
        <f>K522*L522</f>
        <v>126.5</v>
      </c>
      <c r="N522" s="24">
        <f>SUM(N523:N524)</f>
        <v>1.2</v>
      </c>
    </row>
    <row r="523" spans="1:14" ht="12.75" customHeight="1" hidden="1" outlineLevel="2">
      <c r="A523" s="20"/>
      <c r="B523" s="21"/>
      <c r="C523" s="22" t="s">
        <v>290</v>
      </c>
      <c r="D523" s="13" t="s">
        <v>41</v>
      </c>
      <c r="E523" s="16">
        <f>100/100</f>
        <v>1</v>
      </c>
      <c r="F523" s="17"/>
      <c r="G523" s="13"/>
      <c r="H523" s="13" t="s">
        <v>348</v>
      </c>
      <c r="I523" s="17"/>
      <c r="J523" s="13"/>
      <c r="K523" s="15"/>
      <c r="L523" s="15">
        <f>'[5]Раздел №1'!$I$58</f>
        <v>421.6</v>
      </c>
      <c r="M523" s="24"/>
      <c r="N523" s="24">
        <f>E523*F523</f>
        <v>0</v>
      </c>
    </row>
    <row r="524" spans="1:15" ht="12.75" customHeight="1" hidden="1" outlineLevel="2">
      <c r="A524" s="20"/>
      <c r="B524" s="21"/>
      <c r="C524" s="22" t="s">
        <v>63</v>
      </c>
      <c r="D524" s="13" t="s">
        <v>33</v>
      </c>
      <c r="E524" s="16">
        <f>0.002*1000/100</f>
        <v>0.02</v>
      </c>
      <c r="F524" s="17">
        <f>24426.83/1120*1.096*1.25*1.18*1.074*1.118*1.091*1.078*1.077*1.08</f>
        <v>57.91</v>
      </c>
      <c r="G524" s="13"/>
      <c r="H524" s="13" t="s">
        <v>348</v>
      </c>
      <c r="I524" s="17"/>
      <c r="J524" s="13"/>
      <c r="K524" s="15"/>
      <c r="L524" s="15">
        <f>'[5]Раздел №1'!$I$58</f>
        <v>421.6</v>
      </c>
      <c r="M524" s="24"/>
      <c r="N524" s="24">
        <f>E524*F524</f>
        <v>1.2</v>
      </c>
      <c r="O524" s="7" t="s">
        <v>445</v>
      </c>
    </row>
    <row r="525" spans="1:14" ht="12.75" customHeight="1" outlineLevel="1" collapsed="1">
      <c r="A525" s="20"/>
      <c r="B525" s="21" t="s">
        <v>291</v>
      </c>
      <c r="C525" s="22"/>
      <c r="D525" s="13"/>
      <c r="E525" s="16"/>
      <c r="F525" s="32"/>
      <c r="G525" s="13" t="s">
        <v>23</v>
      </c>
      <c r="H525" s="13" t="s">
        <v>347</v>
      </c>
      <c r="I525" s="17">
        <f>16.32/100</f>
        <v>0.16</v>
      </c>
      <c r="J525" s="15">
        <v>1.2</v>
      </c>
      <c r="K525" s="17">
        <f>I525*J525</f>
        <v>0.19</v>
      </c>
      <c r="L525" s="15">
        <f>'[5]Раздел №1'!$I$58</f>
        <v>421.6</v>
      </c>
      <c r="M525" s="24">
        <f>K525*L525</f>
        <v>80.1</v>
      </c>
      <c r="N525" s="24">
        <f>SUM(N526:N527)</f>
        <v>82</v>
      </c>
    </row>
    <row r="526" spans="1:14" ht="12.75" customHeight="1" hidden="1" outlineLevel="2">
      <c r="A526" s="20"/>
      <c r="B526" s="21"/>
      <c r="C526" s="22" t="s">
        <v>292</v>
      </c>
      <c r="D526" s="13" t="s">
        <v>41</v>
      </c>
      <c r="E526" s="16">
        <f>100/100</f>
        <v>1</v>
      </c>
      <c r="F526" s="17">
        <f>30*1.18*1.096*1.25*1.074*1.118*1.091*1.078*1.077*1.08</f>
        <v>79.66</v>
      </c>
      <c r="G526" s="13"/>
      <c r="H526" s="13" t="s">
        <v>347</v>
      </c>
      <c r="I526" s="17"/>
      <c r="J526" s="13"/>
      <c r="K526" s="15"/>
      <c r="L526" s="15">
        <f>'[5]Раздел №1'!$I$58</f>
        <v>421.6</v>
      </c>
      <c r="M526" s="24"/>
      <c r="N526" s="24">
        <f>E526*F526</f>
        <v>79.7</v>
      </c>
    </row>
    <row r="527" spans="1:15" ht="12.75" customHeight="1" hidden="1" outlineLevel="2">
      <c r="A527" s="20"/>
      <c r="B527" s="21"/>
      <c r="C527" s="22" t="s">
        <v>63</v>
      </c>
      <c r="D527" s="13" t="s">
        <v>33</v>
      </c>
      <c r="E527" s="16">
        <f>0.004*1000/100</f>
        <v>0.04</v>
      </c>
      <c r="F527" s="17">
        <f>24426.83/1120*1.096*1.25*1.18*1.074*1.118*1.091*1.078*1.077*1.08</f>
        <v>57.91</v>
      </c>
      <c r="G527" s="13"/>
      <c r="H527" s="13" t="s">
        <v>347</v>
      </c>
      <c r="I527" s="17"/>
      <c r="J527" s="13"/>
      <c r="K527" s="15"/>
      <c r="L527" s="15">
        <f>'[5]Раздел №1'!$I$58</f>
        <v>421.6</v>
      </c>
      <c r="M527" s="24"/>
      <c r="N527" s="24">
        <f>E527*F527</f>
        <v>2.3</v>
      </c>
      <c r="O527" s="7" t="s">
        <v>445</v>
      </c>
    </row>
    <row r="528" spans="1:14" ht="12.75" customHeight="1" outlineLevel="1" collapsed="1">
      <c r="A528" s="20"/>
      <c r="B528" s="21" t="s">
        <v>293</v>
      </c>
      <c r="C528" s="22"/>
      <c r="D528" s="13"/>
      <c r="E528" s="16"/>
      <c r="F528" s="32"/>
      <c r="G528" s="13" t="s">
        <v>23</v>
      </c>
      <c r="H528" s="13" t="s">
        <v>346</v>
      </c>
      <c r="I528" s="17">
        <f>40.92/100</f>
        <v>0.41</v>
      </c>
      <c r="J528" s="15">
        <v>1.2</v>
      </c>
      <c r="K528" s="17">
        <f>I528*J528</f>
        <v>0.49</v>
      </c>
      <c r="L528" s="15">
        <f>'[5]Раздел №1'!$I$58</f>
        <v>421.6</v>
      </c>
      <c r="M528" s="24">
        <f>K528*L528</f>
        <v>206.6</v>
      </c>
      <c r="N528" s="24">
        <f>SUM(N529:N530)</f>
        <v>31.9</v>
      </c>
    </row>
    <row r="529" spans="1:15" ht="12.75" customHeight="1" hidden="1" outlineLevel="2">
      <c r="A529" s="20"/>
      <c r="B529" s="21"/>
      <c r="C529" s="22" t="s">
        <v>294</v>
      </c>
      <c r="D529" s="13" t="s">
        <v>41</v>
      </c>
      <c r="E529" s="16">
        <f>100/100</f>
        <v>1</v>
      </c>
      <c r="F529" s="17">
        <f>9.4*1.096*1.25*1.18*1.074*1.091*1.118*1.078*1.077*1.08</f>
        <v>24.96</v>
      </c>
      <c r="G529" s="13"/>
      <c r="H529" s="13" t="s">
        <v>346</v>
      </c>
      <c r="I529" s="17"/>
      <c r="J529" s="13"/>
      <c r="K529" s="15"/>
      <c r="L529" s="15">
        <f>'[5]Раздел №1'!$I$58</f>
        <v>421.6</v>
      </c>
      <c r="M529" s="24"/>
      <c r="N529" s="24">
        <f>E529*F529</f>
        <v>25</v>
      </c>
      <c r="O529" s="7" t="s">
        <v>491</v>
      </c>
    </row>
    <row r="530" spans="1:15" ht="12.75" customHeight="1" hidden="1" outlineLevel="2">
      <c r="A530" s="20"/>
      <c r="B530" s="21"/>
      <c r="C530" s="22" t="s">
        <v>63</v>
      </c>
      <c r="D530" s="13" t="s">
        <v>33</v>
      </c>
      <c r="E530" s="16">
        <f>0.012*1000/100</f>
        <v>0.12</v>
      </c>
      <c r="F530" s="17">
        <f>24426.83/1120*1.096*1.25*1.18*1.074*1.118*1.091*1.078*1.077*1.08</f>
        <v>57.91</v>
      </c>
      <c r="G530" s="13"/>
      <c r="H530" s="13" t="s">
        <v>346</v>
      </c>
      <c r="I530" s="17"/>
      <c r="J530" s="13"/>
      <c r="K530" s="15"/>
      <c r="L530" s="15">
        <f>'[5]Раздел №1'!$I$58</f>
        <v>421.6</v>
      </c>
      <c r="M530" s="24"/>
      <c r="N530" s="24">
        <f>E530*F530</f>
        <v>6.9</v>
      </c>
      <c r="O530" s="7" t="s">
        <v>445</v>
      </c>
    </row>
    <row r="531" spans="1:14" ht="12.75" customHeight="1" outlineLevel="1" collapsed="1">
      <c r="A531" s="20"/>
      <c r="B531" s="21" t="s">
        <v>295</v>
      </c>
      <c r="C531" s="22"/>
      <c r="D531" s="13"/>
      <c r="E531" s="16"/>
      <c r="F531" s="32"/>
      <c r="G531" s="13" t="s">
        <v>23</v>
      </c>
      <c r="H531" s="13" t="s">
        <v>345</v>
      </c>
      <c r="I531" s="17">
        <f>32.76/100</f>
        <v>0.33</v>
      </c>
      <c r="J531" s="15">
        <v>1.2</v>
      </c>
      <c r="K531" s="17">
        <f>I531*J531</f>
        <v>0.4</v>
      </c>
      <c r="L531" s="15">
        <f>'[5]Раздел №1'!$I$58</f>
        <v>421.6</v>
      </c>
      <c r="M531" s="24">
        <f>K531*L531</f>
        <v>168.6</v>
      </c>
      <c r="N531" s="24">
        <f>SUM(N532:N533)</f>
        <v>82</v>
      </c>
    </row>
    <row r="532" spans="1:15" ht="12.75" customHeight="1" hidden="1" outlineLevel="2">
      <c r="A532" s="20"/>
      <c r="B532" s="21"/>
      <c r="C532" s="22" t="s">
        <v>296</v>
      </c>
      <c r="D532" s="13" t="s">
        <v>41</v>
      </c>
      <c r="E532" s="16">
        <f>100/100</f>
        <v>1</v>
      </c>
      <c r="F532" s="17">
        <f>30*1.18*1.096*1.25*1.074*1.118*1.091*1.078*1.077*1.08</f>
        <v>79.66</v>
      </c>
      <c r="G532" s="13"/>
      <c r="H532" s="13" t="s">
        <v>345</v>
      </c>
      <c r="I532" s="17"/>
      <c r="J532" s="13"/>
      <c r="K532" s="15"/>
      <c r="L532" s="15">
        <f>'[5]Раздел №1'!$I$58</f>
        <v>421.6</v>
      </c>
      <c r="M532" s="24"/>
      <c r="N532" s="24">
        <f>E532*F532</f>
        <v>79.7</v>
      </c>
      <c r="O532" s="7" t="s">
        <v>478</v>
      </c>
    </row>
    <row r="533" spans="1:15" ht="12.75" customHeight="1" hidden="1" outlineLevel="2">
      <c r="A533" s="20"/>
      <c r="B533" s="21"/>
      <c r="C533" s="22" t="s">
        <v>63</v>
      </c>
      <c r="D533" s="13" t="s">
        <v>33</v>
      </c>
      <c r="E533" s="16">
        <f>0.004*1000/100</f>
        <v>0.04</v>
      </c>
      <c r="F533" s="17">
        <f>24426.83/1120*1.096*1.25*1.18*1.074*1.118*1.091*1.078*1.077*1.08</f>
        <v>57.91</v>
      </c>
      <c r="G533" s="13"/>
      <c r="H533" s="13" t="s">
        <v>345</v>
      </c>
      <c r="I533" s="17"/>
      <c r="J533" s="13"/>
      <c r="K533" s="15"/>
      <c r="L533" s="15">
        <f>'[5]Раздел №1'!$I$58</f>
        <v>421.6</v>
      </c>
      <c r="M533" s="24"/>
      <c r="N533" s="24">
        <f>E533*F533</f>
        <v>2.3</v>
      </c>
      <c r="O533" s="7" t="s">
        <v>445</v>
      </c>
    </row>
    <row r="534" spans="1:14" ht="12.75" customHeight="1" outlineLevel="1" collapsed="1">
      <c r="A534" s="20"/>
      <c r="B534" s="21" t="s">
        <v>282</v>
      </c>
      <c r="C534" s="22"/>
      <c r="D534" s="13"/>
      <c r="E534" s="16"/>
      <c r="F534" s="32"/>
      <c r="G534" s="13" t="s">
        <v>23</v>
      </c>
      <c r="H534" s="13" t="s">
        <v>344</v>
      </c>
      <c r="I534" s="17">
        <f>38.76/100</f>
        <v>0.39</v>
      </c>
      <c r="J534" s="15">
        <v>1.2</v>
      </c>
      <c r="K534" s="17">
        <f>I534*J534</f>
        <v>0.47</v>
      </c>
      <c r="L534" s="15">
        <f>'[5]Раздел №1'!$I$58</f>
        <v>421.6</v>
      </c>
      <c r="M534" s="24">
        <f>K534*L534</f>
        <v>198.2</v>
      </c>
      <c r="N534" s="24">
        <f>SUM(N535:N536)</f>
        <v>55.4</v>
      </c>
    </row>
    <row r="535" spans="1:15" ht="12.75" customHeight="1" hidden="1" outlineLevel="2">
      <c r="A535" s="20"/>
      <c r="B535" s="21"/>
      <c r="C535" s="22" t="s">
        <v>284</v>
      </c>
      <c r="D535" s="13" t="s">
        <v>41</v>
      </c>
      <c r="E535" s="16">
        <f>100/100</f>
        <v>1</v>
      </c>
      <c r="F535" s="17">
        <f>20*1.18*1.096*1.25*1.074*1.118*1.091*1.078*1.077*1.08</f>
        <v>53.11</v>
      </c>
      <c r="G535" s="13"/>
      <c r="H535" s="13" t="s">
        <v>344</v>
      </c>
      <c r="I535" s="17"/>
      <c r="J535" s="13"/>
      <c r="K535" s="15"/>
      <c r="L535" s="15">
        <f>'[5]Раздел №1'!$I$58</f>
        <v>421.6</v>
      </c>
      <c r="M535" s="24"/>
      <c r="N535" s="24">
        <f>E535*F535</f>
        <v>53.1</v>
      </c>
      <c r="O535" s="7" t="s">
        <v>477</v>
      </c>
    </row>
    <row r="536" spans="1:15" ht="12.75" customHeight="1" hidden="1" outlineLevel="2">
      <c r="A536" s="20"/>
      <c r="B536" s="21"/>
      <c r="C536" s="22" t="s">
        <v>63</v>
      </c>
      <c r="D536" s="13" t="s">
        <v>33</v>
      </c>
      <c r="E536" s="16">
        <f>0.004*1000/100</f>
        <v>0.04</v>
      </c>
      <c r="F536" s="17">
        <f>24426.83/1120*1.096*1.25*1.18*1.074*1.118*1.091*1.078*1.077*1.08</f>
        <v>57.91</v>
      </c>
      <c r="G536" s="13"/>
      <c r="H536" s="13" t="s">
        <v>344</v>
      </c>
      <c r="I536" s="17"/>
      <c r="J536" s="13"/>
      <c r="K536" s="15"/>
      <c r="L536" s="15">
        <f>'[5]Раздел №1'!$I$58</f>
        <v>421.6</v>
      </c>
      <c r="M536" s="24"/>
      <c r="N536" s="24">
        <f>E536*F536</f>
        <v>2.3</v>
      </c>
      <c r="O536" s="7" t="s">
        <v>445</v>
      </c>
    </row>
    <row r="537" spans="1:15" s="3" customFormat="1" ht="12.75" customHeight="1" outlineLevel="1" collapsed="1">
      <c r="A537" s="20" t="s">
        <v>739</v>
      </c>
      <c r="B537" s="21" t="s">
        <v>11</v>
      </c>
      <c r="C537" s="27"/>
      <c r="D537" s="28"/>
      <c r="E537" s="29"/>
      <c r="F537" s="41"/>
      <c r="G537" s="28"/>
      <c r="H537" s="28"/>
      <c r="I537" s="28"/>
      <c r="J537" s="28"/>
      <c r="K537" s="28"/>
      <c r="L537" s="15">
        <f>'[5]Раздел №1'!$I$58</f>
        <v>421.6</v>
      </c>
      <c r="M537" s="25"/>
      <c r="N537" s="31"/>
      <c r="O537" s="42"/>
    </row>
    <row r="538" spans="1:14" ht="12.75" customHeight="1" outlineLevel="1">
      <c r="A538" s="20"/>
      <c r="B538" s="21" t="s">
        <v>297</v>
      </c>
      <c r="C538" s="22"/>
      <c r="D538" s="13"/>
      <c r="E538" s="16"/>
      <c r="F538" s="32"/>
      <c r="G538" s="13" t="s">
        <v>298</v>
      </c>
      <c r="H538" s="13" t="s">
        <v>343</v>
      </c>
      <c r="I538" s="17">
        <f>115.88/100</f>
        <v>1.16</v>
      </c>
      <c r="J538" s="15">
        <v>1.2</v>
      </c>
      <c r="K538" s="17">
        <f>I538*J538</f>
        <v>1.39</v>
      </c>
      <c r="L538" s="15">
        <f>'[5]Раздел №1'!$I$58</f>
        <v>421.6</v>
      </c>
      <c r="M538" s="24">
        <f>K538*L538</f>
        <v>586</v>
      </c>
      <c r="N538" s="24">
        <f>SUM(N539:N541)</f>
        <v>365.5</v>
      </c>
    </row>
    <row r="539" spans="1:15" ht="12.75" customHeight="1" hidden="1" outlineLevel="2">
      <c r="A539" s="20"/>
      <c r="B539" s="21"/>
      <c r="C539" s="22" t="s">
        <v>428</v>
      </c>
      <c r="D539" s="13" t="s">
        <v>33</v>
      </c>
      <c r="E539" s="16">
        <f>17.2/100</f>
        <v>0.172</v>
      </c>
      <c r="F539" s="17">
        <f>136.7*1.18*1.096*1.25*1.074*1.118*1.091*1.078*1.077*1.08</f>
        <v>362.99</v>
      </c>
      <c r="G539" s="13"/>
      <c r="H539" s="13" t="s">
        <v>343</v>
      </c>
      <c r="I539" s="17"/>
      <c r="J539" s="13"/>
      <c r="K539" s="15"/>
      <c r="L539" s="15">
        <f>'[5]Раздел №1'!$I$58</f>
        <v>421.6</v>
      </c>
      <c r="M539" s="24"/>
      <c r="N539" s="24">
        <f>E539*F539</f>
        <v>62.4</v>
      </c>
      <c r="O539" s="7" t="s">
        <v>476</v>
      </c>
    </row>
    <row r="540" spans="1:15" ht="12.75" customHeight="1" hidden="1" outlineLevel="2">
      <c r="A540" s="20"/>
      <c r="B540" s="21"/>
      <c r="C540" s="22" t="s">
        <v>299</v>
      </c>
      <c r="D540" s="13" t="s">
        <v>33</v>
      </c>
      <c r="E540" s="16">
        <f>301/100</f>
        <v>3.01</v>
      </c>
      <c r="F540" s="17">
        <f>37.72*1.096*1.25*1.18*1.074*1.118*1.091*1.078*1.077*1.08</f>
        <v>100.16</v>
      </c>
      <c r="G540" s="13"/>
      <c r="H540" s="13" t="s">
        <v>343</v>
      </c>
      <c r="I540" s="17"/>
      <c r="J540" s="13"/>
      <c r="K540" s="15"/>
      <c r="L540" s="15">
        <f>'[5]Раздел №1'!$I$58</f>
        <v>421.6</v>
      </c>
      <c r="M540" s="24"/>
      <c r="N540" s="24">
        <f>E540*F540</f>
        <v>301.5</v>
      </c>
      <c r="O540" s="7" t="s">
        <v>504</v>
      </c>
    </row>
    <row r="541" spans="1:15" ht="12.75" customHeight="1" hidden="1" outlineLevel="2">
      <c r="A541" s="20"/>
      <c r="B541" s="21"/>
      <c r="C541" s="22" t="s">
        <v>300</v>
      </c>
      <c r="D541" s="13" t="s">
        <v>33</v>
      </c>
      <c r="E541" s="16">
        <f>0.015*1000/100</f>
        <v>0.15</v>
      </c>
      <c r="F541" s="17">
        <f>4081.8/1010*1.18*1.096*1.25*1.074*1.118*1.091*1.078*1.077*1.08</f>
        <v>10.73</v>
      </c>
      <c r="G541" s="13"/>
      <c r="H541" s="13" t="s">
        <v>343</v>
      </c>
      <c r="I541" s="17"/>
      <c r="J541" s="13"/>
      <c r="K541" s="15"/>
      <c r="L541" s="15">
        <f>'[5]Раздел №1'!$I$58</f>
        <v>421.6</v>
      </c>
      <c r="M541" s="24"/>
      <c r="N541" s="24">
        <f>E541*F541</f>
        <v>1.6</v>
      </c>
      <c r="O541" s="7" t="s">
        <v>493</v>
      </c>
    </row>
    <row r="542" spans="1:14" ht="12.75" customHeight="1" outlineLevel="1" collapsed="1">
      <c r="A542" s="20"/>
      <c r="B542" s="21" t="s">
        <v>301</v>
      </c>
      <c r="C542" s="22"/>
      <c r="D542" s="13"/>
      <c r="E542" s="16"/>
      <c r="F542" s="32"/>
      <c r="G542" s="13" t="s">
        <v>298</v>
      </c>
      <c r="H542" s="13" t="s">
        <v>342</v>
      </c>
      <c r="I542" s="17">
        <f>21.28/100</f>
        <v>0.21</v>
      </c>
      <c r="J542" s="15">
        <v>1.2</v>
      </c>
      <c r="K542" s="17">
        <f>I542*J542</f>
        <v>0.25</v>
      </c>
      <c r="L542" s="15">
        <f>'[5]Раздел №1'!$I$58</f>
        <v>421.6</v>
      </c>
      <c r="M542" s="24">
        <f>K542*L542</f>
        <v>105.4</v>
      </c>
      <c r="N542" s="24">
        <f>SUM(N543:N543)</f>
        <v>62.4</v>
      </c>
    </row>
    <row r="543" spans="1:15" ht="12.75" customHeight="1" hidden="1" outlineLevel="2">
      <c r="A543" s="20"/>
      <c r="B543" s="21"/>
      <c r="C543" s="22" t="s">
        <v>428</v>
      </c>
      <c r="D543" s="13" t="s">
        <v>33</v>
      </c>
      <c r="E543" s="16">
        <f>17.2/100</f>
        <v>0.172</v>
      </c>
      <c r="F543" s="17">
        <f>136.7*1.18*1.096*1.25*1.074*1.118*1.091*1.078*1.077*1.08</f>
        <v>362.99</v>
      </c>
      <c r="G543" s="13"/>
      <c r="H543" s="13" t="s">
        <v>342</v>
      </c>
      <c r="I543" s="17"/>
      <c r="J543" s="13"/>
      <c r="K543" s="15"/>
      <c r="L543" s="15"/>
      <c r="M543" s="24"/>
      <c r="N543" s="24">
        <f>E543*F543</f>
        <v>62.4</v>
      </c>
      <c r="O543" s="7" t="s">
        <v>476</v>
      </c>
    </row>
    <row r="544" spans="1:14" ht="12.75" customHeight="1" outlineLevel="1" collapsed="1">
      <c r="A544" s="20" t="s">
        <v>740</v>
      </c>
      <c r="B544" s="21" t="s">
        <v>12</v>
      </c>
      <c r="C544" s="22"/>
      <c r="D544" s="13"/>
      <c r="E544" s="16"/>
      <c r="F544" s="32"/>
      <c r="G544" s="13"/>
      <c r="H544" s="13"/>
      <c r="I544" s="17"/>
      <c r="J544" s="13"/>
      <c r="K544" s="15"/>
      <c r="L544" s="15"/>
      <c r="M544" s="24"/>
      <c r="N544" s="24"/>
    </row>
    <row r="545" spans="1:14" ht="12.75" customHeight="1" outlineLevel="1">
      <c r="A545" s="20"/>
      <c r="B545" s="21" t="s">
        <v>302</v>
      </c>
      <c r="C545" s="22"/>
      <c r="D545" s="13"/>
      <c r="E545" s="16"/>
      <c r="F545" s="32"/>
      <c r="G545" s="13" t="s">
        <v>219</v>
      </c>
      <c r="H545" s="13" t="s">
        <v>341</v>
      </c>
      <c r="I545" s="17">
        <f>58.6/100</f>
        <v>0.59</v>
      </c>
      <c r="J545" s="15">
        <v>1.2</v>
      </c>
      <c r="K545" s="17">
        <f>I545*J545</f>
        <v>0.71</v>
      </c>
      <c r="L545" s="15">
        <f>'[5]Раздел №1'!$I$58</f>
        <v>421.6</v>
      </c>
      <c r="M545" s="24">
        <f>K545*L545</f>
        <v>299.3</v>
      </c>
      <c r="N545" s="24">
        <f>SUM(N546:N547)</f>
        <v>1.5</v>
      </c>
    </row>
    <row r="546" spans="1:15" ht="12.75" customHeight="1" hidden="1" outlineLevel="2">
      <c r="A546" s="20"/>
      <c r="B546" s="21"/>
      <c r="C546" s="65" t="s">
        <v>303</v>
      </c>
      <c r="D546" s="67" t="s">
        <v>230</v>
      </c>
      <c r="E546" s="68">
        <f>0.46/100</f>
        <v>0.005</v>
      </c>
      <c r="F546" s="17"/>
      <c r="G546" s="13"/>
      <c r="H546" s="13" t="s">
        <v>341</v>
      </c>
      <c r="I546" s="17"/>
      <c r="J546" s="13"/>
      <c r="K546" s="15"/>
      <c r="L546" s="15">
        <f>'[5]Раздел №1'!$I$58</f>
        <v>421.6</v>
      </c>
      <c r="M546" s="24"/>
      <c r="N546" s="24">
        <f>E546*F546</f>
        <v>0</v>
      </c>
      <c r="O546" s="7" t="s">
        <v>532</v>
      </c>
    </row>
    <row r="547" spans="1:15" ht="12.75" customHeight="1" hidden="1" outlineLevel="2">
      <c r="A547" s="20"/>
      <c r="B547" s="21"/>
      <c r="C547" s="22" t="s">
        <v>304</v>
      </c>
      <c r="D547" s="13" t="s">
        <v>33</v>
      </c>
      <c r="E547" s="16">
        <f>0.003*1000/100</f>
        <v>0.03</v>
      </c>
      <c r="F547" s="17">
        <f>20810.46/1120*1.18*1.096*1.25*1.074*1.118*1.091*1.078*1.077*1.08</f>
        <v>49.34</v>
      </c>
      <c r="G547" s="13"/>
      <c r="H547" s="13" t="s">
        <v>341</v>
      </c>
      <c r="I547" s="17"/>
      <c r="J547" s="13"/>
      <c r="K547" s="15"/>
      <c r="L547" s="15">
        <f>'[5]Раздел №1'!$I$58</f>
        <v>421.6</v>
      </c>
      <c r="M547" s="24"/>
      <c r="N547" s="24">
        <f>E547*F547</f>
        <v>1.5</v>
      </c>
      <c r="O547" s="7" t="s">
        <v>471</v>
      </c>
    </row>
    <row r="548" spans="1:14" ht="12.75" customHeight="1" outlineLevel="1" collapsed="1">
      <c r="A548" s="20"/>
      <c r="B548" s="21" t="s">
        <v>305</v>
      </c>
      <c r="C548" s="22"/>
      <c r="D548" s="13"/>
      <c r="E548" s="16"/>
      <c r="F548" s="32"/>
      <c r="G548" s="13" t="s">
        <v>93</v>
      </c>
      <c r="H548" s="13" t="s">
        <v>340</v>
      </c>
      <c r="I548" s="17">
        <f>583.5/100</f>
        <v>5.84</v>
      </c>
      <c r="J548" s="15">
        <v>1.2</v>
      </c>
      <c r="K548" s="17">
        <f>I548*J548</f>
        <v>7.01</v>
      </c>
      <c r="L548" s="15">
        <f>'[5]Раздел №1'!$I$58</f>
        <v>421.6</v>
      </c>
      <c r="M548" s="24">
        <f>K548*L548</f>
        <v>2955.4</v>
      </c>
      <c r="N548" s="24">
        <f>SUM(N549:N552)</f>
        <v>51.5</v>
      </c>
    </row>
    <row r="549" spans="1:14" ht="12.75" customHeight="1" hidden="1" outlineLevel="2">
      <c r="A549" s="20"/>
      <c r="B549" s="21"/>
      <c r="C549" s="22" t="s">
        <v>306</v>
      </c>
      <c r="D549" s="13" t="s">
        <v>100</v>
      </c>
      <c r="E549" s="16">
        <f>100/100</f>
        <v>1</v>
      </c>
      <c r="F549" s="17"/>
      <c r="G549" s="13"/>
      <c r="H549" s="13" t="s">
        <v>340</v>
      </c>
      <c r="I549" s="17"/>
      <c r="J549" s="13"/>
      <c r="K549" s="15"/>
      <c r="L549" s="15">
        <f>'[5]Раздел №1'!$I$58</f>
        <v>421.6</v>
      </c>
      <c r="M549" s="24"/>
      <c r="N549" s="24">
        <f>E549*F549</f>
        <v>0</v>
      </c>
    </row>
    <row r="550" spans="1:15" ht="12.75" customHeight="1" hidden="1" outlineLevel="2">
      <c r="A550" s="20"/>
      <c r="B550" s="21"/>
      <c r="C550" s="22" t="s">
        <v>307</v>
      </c>
      <c r="D550" s="13" t="s">
        <v>33</v>
      </c>
      <c r="E550" s="16">
        <f>0.001*1000/100</f>
        <v>0.01</v>
      </c>
      <c r="F550" s="17">
        <f>35017.85/1120*1.18*1.096*1.25*1.074*1.118*1.091*1.078*1.077*1.08</f>
        <v>83.02</v>
      </c>
      <c r="G550" s="13"/>
      <c r="H550" s="13" t="s">
        <v>340</v>
      </c>
      <c r="I550" s="17"/>
      <c r="J550" s="13"/>
      <c r="K550" s="15"/>
      <c r="L550" s="15">
        <f>'[5]Раздел №1'!$I$58</f>
        <v>421.6</v>
      </c>
      <c r="M550" s="24"/>
      <c r="N550" s="24">
        <f>E550*F550</f>
        <v>0.8</v>
      </c>
      <c r="O550" s="7" t="s">
        <v>473</v>
      </c>
    </row>
    <row r="551" spans="1:15" ht="12.75" customHeight="1" hidden="1" outlineLevel="2">
      <c r="A551" s="20"/>
      <c r="B551" s="21"/>
      <c r="C551" s="22" t="s">
        <v>218</v>
      </c>
      <c r="D551" s="13" t="s">
        <v>33</v>
      </c>
      <c r="E551" s="16">
        <f>8.7/100</f>
        <v>0.087</v>
      </c>
      <c r="F551" s="17">
        <f>43.75*1.18*1.096*1.25*1.074*1.118*1.091*1.078*1.077*1.08</f>
        <v>116.17</v>
      </c>
      <c r="G551" s="13"/>
      <c r="H551" s="13" t="s">
        <v>340</v>
      </c>
      <c r="I551" s="17"/>
      <c r="J551" s="13"/>
      <c r="K551" s="15"/>
      <c r="L551" s="15">
        <f>'[5]Раздел №1'!$I$58</f>
        <v>421.6</v>
      </c>
      <c r="M551" s="24"/>
      <c r="N551" s="24">
        <f>E551*F551</f>
        <v>10.1</v>
      </c>
      <c r="O551" s="7" t="s">
        <v>521</v>
      </c>
    </row>
    <row r="552" spans="1:15" ht="12.75" customHeight="1" hidden="1" outlineLevel="2">
      <c r="A552" s="20"/>
      <c r="B552" s="21"/>
      <c r="C552" s="22" t="s">
        <v>308</v>
      </c>
      <c r="D552" s="13" t="s">
        <v>100</v>
      </c>
      <c r="E552" s="16">
        <f>12.3/100</f>
        <v>0.123</v>
      </c>
      <c r="F552" s="17">
        <f>124.39*1.096*1.25*1.18*1.074*1.118*1.091*1.078*1.077*1.08</f>
        <v>330.31</v>
      </c>
      <c r="G552" s="13"/>
      <c r="H552" s="13" t="s">
        <v>340</v>
      </c>
      <c r="I552" s="17"/>
      <c r="J552" s="13"/>
      <c r="K552" s="15"/>
      <c r="L552" s="15">
        <f>'[5]Раздел №1'!$I$58</f>
        <v>421.6</v>
      </c>
      <c r="M552" s="24"/>
      <c r="N552" s="24">
        <f>E552*F552</f>
        <v>40.6</v>
      </c>
      <c r="O552" s="7" t="s">
        <v>484</v>
      </c>
    </row>
    <row r="553" spans="1:14" ht="12.75" customHeight="1" outlineLevel="1" collapsed="1">
      <c r="A553" s="20"/>
      <c r="B553" s="21" t="s">
        <v>311</v>
      </c>
      <c r="C553" s="22"/>
      <c r="D553" s="13"/>
      <c r="E553" s="16"/>
      <c r="F553" s="32"/>
      <c r="G553" s="13" t="s">
        <v>398</v>
      </c>
      <c r="H553" s="13" t="s">
        <v>339</v>
      </c>
      <c r="I553" s="17">
        <f>4.52/100</f>
        <v>0.05</v>
      </c>
      <c r="J553" s="15">
        <v>1.2</v>
      </c>
      <c r="K553" s="17">
        <f>I553*J553</f>
        <v>0.06</v>
      </c>
      <c r="L553" s="15">
        <f>'[5]Раздел №1'!$I$58</f>
        <v>421.6</v>
      </c>
      <c r="M553" s="24">
        <f>K553*L553</f>
        <v>25.3</v>
      </c>
      <c r="N553" s="24">
        <f>SUM(N554:N555)</f>
        <v>2.7</v>
      </c>
    </row>
    <row r="554" spans="1:15" ht="12.75" customHeight="1" hidden="1" outlineLevel="2">
      <c r="A554" s="20"/>
      <c r="B554" s="21"/>
      <c r="C554" s="22" t="s">
        <v>309</v>
      </c>
      <c r="D554" s="13" t="s">
        <v>100</v>
      </c>
      <c r="E554" s="16">
        <f>100/100</f>
        <v>1</v>
      </c>
      <c r="F554" s="17"/>
      <c r="G554" s="13"/>
      <c r="H554" s="13" t="s">
        <v>339</v>
      </c>
      <c r="I554" s="17"/>
      <c r="J554" s="13"/>
      <c r="K554" s="15"/>
      <c r="L554" s="15">
        <f>'[5]Раздел №1'!$I$58</f>
        <v>421.6</v>
      </c>
      <c r="M554" s="24"/>
      <c r="N554" s="24">
        <f>E554*F554</f>
        <v>0</v>
      </c>
      <c r="O554" s="7" t="s">
        <v>492</v>
      </c>
    </row>
    <row r="555" spans="1:15" ht="12.75" customHeight="1" hidden="1" outlineLevel="2">
      <c r="A555" s="20"/>
      <c r="B555" s="21"/>
      <c r="C555" s="22" t="s">
        <v>310</v>
      </c>
      <c r="D555" s="13" t="s">
        <v>33</v>
      </c>
      <c r="E555" s="16">
        <f>1.81/100</f>
        <v>0.018</v>
      </c>
      <c r="F555" s="17">
        <f>63.08/1.1*1.096*1.25*1.18*1.074*1.118*1.091*1.078*1.077*1.08</f>
        <v>152.28</v>
      </c>
      <c r="G555" s="13"/>
      <c r="H555" s="13" t="s">
        <v>339</v>
      </c>
      <c r="I555" s="17"/>
      <c r="J555" s="13"/>
      <c r="K555" s="15"/>
      <c r="L555" s="15">
        <f>'[5]Раздел №1'!$I$58</f>
        <v>421.6</v>
      </c>
      <c r="M555" s="24"/>
      <c r="N555" s="24">
        <f>E555*F555</f>
        <v>2.7</v>
      </c>
      <c r="O555" s="7" t="s">
        <v>495</v>
      </c>
    </row>
    <row r="556" spans="1:14" ht="12.75" customHeight="1" outlineLevel="1" collapsed="1">
      <c r="A556" s="20"/>
      <c r="B556" s="21" t="s">
        <v>312</v>
      </c>
      <c r="C556" s="22"/>
      <c r="D556" s="13"/>
      <c r="E556" s="16"/>
      <c r="F556" s="32"/>
      <c r="G556" s="13" t="s">
        <v>398</v>
      </c>
      <c r="H556" s="13" t="s">
        <v>338</v>
      </c>
      <c r="I556" s="17">
        <f>9.03/100</f>
        <v>0.09</v>
      </c>
      <c r="J556" s="15">
        <v>1.2</v>
      </c>
      <c r="K556" s="17">
        <f>I556*J556</f>
        <v>0.11</v>
      </c>
      <c r="L556" s="15">
        <f>'[5]Раздел №1'!$I$58</f>
        <v>421.6</v>
      </c>
      <c r="M556" s="24">
        <f>K556*L556</f>
        <v>46.4</v>
      </c>
      <c r="N556" s="24">
        <f>SUM(N557:N558)</f>
        <v>6.2</v>
      </c>
    </row>
    <row r="557" spans="1:15" ht="12.75" customHeight="1" hidden="1" outlineLevel="2">
      <c r="A557" s="20"/>
      <c r="B557" s="21"/>
      <c r="C557" s="22" t="s">
        <v>309</v>
      </c>
      <c r="D557" s="13" t="s">
        <v>100</v>
      </c>
      <c r="E557" s="16">
        <f>100/100</f>
        <v>1</v>
      </c>
      <c r="F557" s="17"/>
      <c r="G557" s="13"/>
      <c r="H557" s="13" t="s">
        <v>338</v>
      </c>
      <c r="I557" s="17"/>
      <c r="J557" s="13"/>
      <c r="K557" s="15"/>
      <c r="L557" s="15"/>
      <c r="M557" s="24"/>
      <c r="N557" s="24">
        <f>E557*F557</f>
        <v>0</v>
      </c>
      <c r="O557" s="7" t="s">
        <v>492</v>
      </c>
    </row>
    <row r="558" spans="1:15" ht="12.75" customHeight="1" hidden="1" outlineLevel="2">
      <c r="A558" s="20"/>
      <c r="B558" s="21"/>
      <c r="C558" s="22" t="s">
        <v>310</v>
      </c>
      <c r="D558" s="13" t="s">
        <v>33</v>
      </c>
      <c r="E558" s="16">
        <f>4.08/100</f>
        <v>0.041</v>
      </c>
      <c r="F558" s="17">
        <f>63.08/1.1*1.096*1.25*1.18*1.074*1.118*1.091*1.078*1.077*1.08</f>
        <v>152.28</v>
      </c>
      <c r="G558" s="13"/>
      <c r="H558" s="13" t="s">
        <v>338</v>
      </c>
      <c r="I558" s="17"/>
      <c r="J558" s="13"/>
      <c r="K558" s="15"/>
      <c r="L558" s="15"/>
      <c r="M558" s="24"/>
      <c r="N558" s="24">
        <f>E558*F558</f>
        <v>6.2</v>
      </c>
      <c r="O558" s="7" t="s">
        <v>495</v>
      </c>
    </row>
    <row r="559" spans="1:14" ht="12.75" customHeight="1" outlineLevel="1" collapsed="1">
      <c r="A559" s="20" t="s">
        <v>741</v>
      </c>
      <c r="B559" s="21" t="s">
        <v>317</v>
      </c>
      <c r="C559" s="22"/>
      <c r="D559" s="13"/>
      <c r="E559" s="16"/>
      <c r="F559" s="32"/>
      <c r="G559" s="13"/>
      <c r="H559" s="13"/>
      <c r="I559" s="17"/>
      <c r="J559" s="13"/>
      <c r="K559" s="15"/>
      <c r="L559" s="15"/>
      <c r="M559" s="24"/>
      <c r="N559" s="24"/>
    </row>
    <row r="560" spans="1:14" ht="12.75" customHeight="1" outlineLevel="1">
      <c r="A560" s="20"/>
      <c r="B560" s="21" t="s">
        <v>589</v>
      </c>
      <c r="C560" s="22"/>
      <c r="D560" s="13"/>
      <c r="E560" s="16"/>
      <c r="F560" s="32"/>
      <c r="G560" s="13" t="s">
        <v>93</v>
      </c>
      <c r="H560" s="13" t="s">
        <v>337</v>
      </c>
      <c r="I560" s="17">
        <f>310.88/100</f>
        <v>3.11</v>
      </c>
      <c r="J560" s="15">
        <v>1.2</v>
      </c>
      <c r="K560" s="17">
        <f>I560*J560</f>
        <v>3.73</v>
      </c>
      <c r="L560" s="15">
        <f>'[5]Раздел №1'!$I$58</f>
        <v>421.6</v>
      </c>
      <c r="M560" s="24">
        <f>K560*L560</f>
        <v>1572.6</v>
      </c>
      <c r="N560" s="24">
        <f>SUM(N561:N565)</f>
        <v>228.7</v>
      </c>
    </row>
    <row r="561" spans="1:15" ht="12.75" customHeight="1" hidden="1" outlineLevel="2">
      <c r="A561" s="20"/>
      <c r="B561" s="21"/>
      <c r="C561" s="22" t="s">
        <v>313</v>
      </c>
      <c r="D561" s="13" t="s">
        <v>100</v>
      </c>
      <c r="E561" s="16">
        <f>110/100</f>
        <v>1.1</v>
      </c>
      <c r="F561" s="17"/>
      <c r="G561" s="13"/>
      <c r="H561" s="13" t="s">
        <v>337</v>
      </c>
      <c r="I561" s="17"/>
      <c r="J561" s="13"/>
      <c r="K561" s="15"/>
      <c r="L561" s="15">
        <f>'[5]Раздел №1'!$I$58</f>
        <v>421.6</v>
      </c>
      <c r="M561" s="24"/>
      <c r="N561" s="24">
        <f>E561*F561</f>
        <v>0</v>
      </c>
      <c r="O561" s="7" t="s">
        <v>516</v>
      </c>
    </row>
    <row r="562" spans="1:15" ht="12.75" customHeight="1" hidden="1" outlineLevel="2">
      <c r="A562" s="20"/>
      <c r="B562" s="21"/>
      <c r="C562" s="22" t="s">
        <v>314</v>
      </c>
      <c r="D562" s="13" t="s">
        <v>33</v>
      </c>
      <c r="E562" s="16">
        <f>0.0976*1000/100</f>
        <v>0.976</v>
      </c>
      <c r="F562" s="17">
        <f>23.98*1.18*1.096*1.25*1.074*1.118*1.091*1.078*1.077*1.08</f>
        <v>63.68</v>
      </c>
      <c r="G562" s="13"/>
      <c r="H562" s="13" t="s">
        <v>337</v>
      </c>
      <c r="I562" s="17"/>
      <c r="J562" s="13"/>
      <c r="K562" s="15"/>
      <c r="L562" s="15">
        <f>'[5]Раздел №1'!$I$58</f>
        <v>421.6</v>
      </c>
      <c r="M562" s="24"/>
      <c r="N562" s="24">
        <f>E562*F562</f>
        <v>62.2</v>
      </c>
      <c r="O562" s="7" t="s">
        <v>479</v>
      </c>
    </row>
    <row r="563" spans="1:15" ht="12.75" customHeight="1" hidden="1" outlineLevel="2">
      <c r="A563" s="20"/>
      <c r="B563" s="21"/>
      <c r="C563" s="22" t="s">
        <v>315</v>
      </c>
      <c r="D563" s="13" t="s">
        <v>33</v>
      </c>
      <c r="E563" s="16">
        <f>0.0007*1000/100</f>
        <v>0.007</v>
      </c>
      <c r="F563" s="17">
        <f>25681.93/1120*1.18*1.096*1.25*1.074*1.118*1.091*1.078*1.077*1.08</f>
        <v>60.89</v>
      </c>
      <c r="G563" s="13"/>
      <c r="H563" s="13" t="s">
        <v>337</v>
      </c>
      <c r="I563" s="17"/>
      <c r="J563" s="13"/>
      <c r="K563" s="15"/>
      <c r="L563" s="15">
        <f>'[5]Раздел №1'!$I$58</f>
        <v>421.6</v>
      </c>
      <c r="M563" s="24"/>
      <c r="N563" s="24">
        <f>E563*F563</f>
        <v>0.4</v>
      </c>
      <c r="O563" s="7" t="s">
        <v>474</v>
      </c>
    </row>
    <row r="564" spans="1:15" ht="12.75" customHeight="1" hidden="1" outlineLevel="2">
      <c r="A564" s="20"/>
      <c r="B564" s="21"/>
      <c r="C564" s="22" t="s">
        <v>98</v>
      </c>
      <c r="D564" s="13" t="s">
        <v>33</v>
      </c>
      <c r="E564" s="16">
        <f>0.2/100</f>
        <v>0.002</v>
      </c>
      <c r="F564" s="17">
        <f>27.58*1.18*1.096*1.25*1.074*1.118*1.091*1.078*1.077*1.08</f>
        <v>73.24</v>
      </c>
      <c r="G564" s="13"/>
      <c r="H564" s="13" t="s">
        <v>337</v>
      </c>
      <c r="I564" s="17"/>
      <c r="J564" s="13"/>
      <c r="K564" s="15"/>
      <c r="L564" s="15">
        <f>'[5]Раздел №1'!$I$58</f>
        <v>421.6</v>
      </c>
      <c r="M564" s="24"/>
      <c r="N564" s="24">
        <f>E564*F564</f>
        <v>0.1</v>
      </c>
      <c r="O564" s="7" t="s">
        <v>443</v>
      </c>
    </row>
    <row r="565" spans="1:15" ht="12.75" customHeight="1" hidden="1" outlineLevel="2">
      <c r="A565" s="20"/>
      <c r="B565" s="21"/>
      <c r="C565" s="22" t="s">
        <v>316</v>
      </c>
      <c r="D565" s="13" t="s">
        <v>136</v>
      </c>
      <c r="E565" s="16">
        <f>816/100</f>
        <v>8.16</v>
      </c>
      <c r="F565" s="17">
        <f>7.66*1.096*1.25*1.18*1.074*1.118*1.091*1.078*1.077*1.08</f>
        <v>20.34</v>
      </c>
      <c r="G565" s="13"/>
      <c r="H565" s="13" t="s">
        <v>337</v>
      </c>
      <c r="I565" s="17"/>
      <c r="J565" s="13"/>
      <c r="K565" s="15"/>
      <c r="L565" s="15">
        <f>'[5]Раздел №1'!$I$58</f>
        <v>421.6</v>
      </c>
      <c r="M565" s="24"/>
      <c r="N565" s="24">
        <f>E565*F565</f>
        <v>166</v>
      </c>
      <c r="O565" s="7" t="s">
        <v>506</v>
      </c>
    </row>
    <row r="566" spans="1:14" ht="12.75" customHeight="1" outlineLevel="1" collapsed="1">
      <c r="A566" s="20"/>
      <c r="B566" s="21" t="s">
        <v>590</v>
      </c>
      <c r="C566" s="22"/>
      <c r="D566" s="13"/>
      <c r="E566" s="16"/>
      <c r="F566" s="32"/>
      <c r="G566" s="13" t="s">
        <v>93</v>
      </c>
      <c r="H566" s="13" t="s">
        <v>336</v>
      </c>
      <c r="I566" s="17">
        <f>196.3/100</f>
        <v>1.96</v>
      </c>
      <c r="J566" s="15">
        <v>1.2</v>
      </c>
      <c r="K566" s="17">
        <f>I566*J566</f>
        <v>2.35</v>
      </c>
      <c r="L566" s="15">
        <f>'[5]Раздел №1'!$I$58</f>
        <v>421.6</v>
      </c>
      <c r="M566" s="24">
        <f>K566*L566</f>
        <v>990.8</v>
      </c>
      <c r="N566" s="24">
        <f>SUM(N567:N571)</f>
        <v>171.5</v>
      </c>
    </row>
    <row r="567" spans="1:15" ht="12.75" customHeight="1" hidden="1" outlineLevel="2">
      <c r="A567" s="20"/>
      <c r="B567" s="21"/>
      <c r="C567" s="22" t="s">
        <v>313</v>
      </c>
      <c r="D567" s="13" t="s">
        <v>100</v>
      </c>
      <c r="E567" s="16">
        <f>115/100</f>
        <v>1.15</v>
      </c>
      <c r="F567" s="17"/>
      <c r="G567" s="13"/>
      <c r="H567" s="13" t="s">
        <v>336</v>
      </c>
      <c r="I567" s="17"/>
      <c r="J567" s="13"/>
      <c r="K567" s="15"/>
      <c r="L567" s="15">
        <f>'[5]Раздел №1'!$I$58</f>
        <v>421.6</v>
      </c>
      <c r="M567" s="24"/>
      <c r="N567" s="24">
        <f>E567*F567</f>
        <v>0</v>
      </c>
      <c r="O567" s="7" t="s">
        <v>516</v>
      </c>
    </row>
    <row r="568" spans="1:15" ht="12.75" customHeight="1" hidden="1" outlineLevel="2">
      <c r="A568" s="20"/>
      <c r="B568" s="21"/>
      <c r="C568" s="22" t="s">
        <v>314</v>
      </c>
      <c r="D568" s="13" t="s">
        <v>33</v>
      </c>
      <c r="E568" s="16">
        <f>0.0732*1000/100</f>
        <v>0.732</v>
      </c>
      <c r="F568" s="17">
        <f>23.98*1.18*1.096*1.25*1.074*1.118*1.091*1.078*1.077*1.08</f>
        <v>63.68</v>
      </c>
      <c r="G568" s="13"/>
      <c r="H568" s="13" t="s">
        <v>336</v>
      </c>
      <c r="I568" s="17"/>
      <c r="J568" s="13"/>
      <c r="K568" s="15"/>
      <c r="L568" s="15">
        <f>'[5]Раздел №1'!$I$58</f>
        <v>421.6</v>
      </c>
      <c r="M568" s="24"/>
      <c r="N568" s="24">
        <f>E568*F568</f>
        <v>46.6</v>
      </c>
      <c r="O568" s="7" t="s">
        <v>479</v>
      </c>
    </row>
    <row r="569" spans="1:15" ht="12.75" customHeight="1" hidden="1" outlineLevel="2">
      <c r="A569" s="20"/>
      <c r="B569" s="21"/>
      <c r="C569" s="22" t="s">
        <v>315</v>
      </c>
      <c r="D569" s="13" t="s">
        <v>33</v>
      </c>
      <c r="E569" s="16">
        <f>0.0005*1000/100</f>
        <v>0.005</v>
      </c>
      <c r="F569" s="17">
        <f>25681.93/1120*1.18*1.096*1.25*1.074*1.118*1.091*1.078*1.077*1.08</f>
        <v>60.89</v>
      </c>
      <c r="G569" s="13"/>
      <c r="H569" s="13" t="s">
        <v>336</v>
      </c>
      <c r="I569" s="17"/>
      <c r="J569" s="13"/>
      <c r="K569" s="15"/>
      <c r="L569" s="15">
        <f>'[5]Раздел №1'!$I$58</f>
        <v>421.6</v>
      </c>
      <c r="M569" s="24"/>
      <c r="N569" s="24">
        <f>E569*F569</f>
        <v>0.3</v>
      </c>
      <c r="O569" s="7" t="s">
        <v>474</v>
      </c>
    </row>
    <row r="570" spans="1:15" ht="12.75" customHeight="1" hidden="1" outlineLevel="2">
      <c r="A570" s="20"/>
      <c r="B570" s="21"/>
      <c r="C570" s="22" t="s">
        <v>98</v>
      </c>
      <c r="D570" s="13" t="s">
        <v>33</v>
      </c>
      <c r="E570" s="16">
        <f>0.2/100</f>
        <v>0.002</v>
      </c>
      <c r="F570" s="17">
        <f>27.58*1.18*1.096*1.25*1.074*1.118*1.091*1.078*1.077*1.08</f>
        <v>73.24</v>
      </c>
      <c r="G570" s="13"/>
      <c r="H570" s="13" t="s">
        <v>336</v>
      </c>
      <c r="I570" s="17"/>
      <c r="J570" s="13"/>
      <c r="K570" s="15"/>
      <c r="L570" s="15">
        <f>'[5]Раздел №1'!$I$58</f>
        <v>421.6</v>
      </c>
      <c r="M570" s="24"/>
      <c r="N570" s="24">
        <f>E570*F570</f>
        <v>0.1</v>
      </c>
      <c r="O570" s="7" t="s">
        <v>443</v>
      </c>
    </row>
    <row r="571" spans="1:15" ht="12.75" customHeight="1" hidden="1" outlineLevel="2">
      <c r="A571" s="20"/>
      <c r="B571" s="21"/>
      <c r="C571" s="22" t="s">
        <v>316</v>
      </c>
      <c r="D571" s="13" t="s">
        <v>136</v>
      </c>
      <c r="E571" s="16">
        <f>612/100</f>
        <v>6.12</v>
      </c>
      <c r="F571" s="17">
        <f>7.66*1.096*1.25*1.18*1.074*1.118*1.091*1.078*1.077*1.08</f>
        <v>20.34</v>
      </c>
      <c r="G571" s="13"/>
      <c r="H571" s="13" t="s">
        <v>336</v>
      </c>
      <c r="I571" s="17"/>
      <c r="J571" s="13"/>
      <c r="K571" s="15"/>
      <c r="L571" s="15">
        <f>'[5]Раздел №1'!$I$58</f>
        <v>421.6</v>
      </c>
      <c r="M571" s="24"/>
      <c r="N571" s="24">
        <f>E571*F571</f>
        <v>124.5</v>
      </c>
      <c r="O571" s="7" t="s">
        <v>506</v>
      </c>
    </row>
    <row r="572" spans="1:14" ht="15" customHeight="1" outlineLevel="1" collapsed="1">
      <c r="A572" s="20"/>
      <c r="B572" s="21" t="s">
        <v>591</v>
      </c>
      <c r="C572" s="22"/>
      <c r="D572" s="13"/>
      <c r="E572" s="16"/>
      <c r="F572" s="32"/>
      <c r="G572" s="13" t="s">
        <v>93</v>
      </c>
      <c r="H572" s="13" t="s">
        <v>336</v>
      </c>
      <c r="I572" s="17">
        <f>137.8/100</f>
        <v>1.38</v>
      </c>
      <c r="J572" s="15">
        <v>1.2</v>
      </c>
      <c r="K572" s="17">
        <f>I572*J572</f>
        <v>1.66</v>
      </c>
      <c r="L572" s="15">
        <f>'[5]Раздел №1'!$I$58</f>
        <v>421.6</v>
      </c>
      <c r="M572" s="24">
        <f>K572*L572</f>
        <v>699.9</v>
      </c>
      <c r="N572" s="24">
        <f>SUM(N573:N577)</f>
        <v>114.4</v>
      </c>
    </row>
    <row r="573" spans="1:15" ht="12.75" customHeight="1" hidden="1" outlineLevel="2">
      <c r="A573" s="20"/>
      <c r="B573" s="21"/>
      <c r="C573" s="22" t="s">
        <v>313</v>
      </c>
      <c r="D573" s="13" t="s">
        <v>100</v>
      </c>
      <c r="E573" s="16">
        <f>115/100</f>
        <v>1.15</v>
      </c>
      <c r="F573" s="17"/>
      <c r="G573" s="13"/>
      <c r="H573" s="13" t="s">
        <v>336</v>
      </c>
      <c r="I573" s="17"/>
      <c r="J573" s="13"/>
      <c r="K573" s="15"/>
      <c r="L573" s="15">
        <f>'[5]Раздел №1'!$I$58</f>
        <v>421.6</v>
      </c>
      <c r="M573" s="24"/>
      <c r="N573" s="24">
        <f>E573*F573</f>
        <v>0</v>
      </c>
      <c r="O573" s="7" t="s">
        <v>516</v>
      </c>
    </row>
    <row r="574" spans="1:15" ht="12.75" customHeight="1" hidden="1" outlineLevel="2">
      <c r="A574" s="20"/>
      <c r="B574" s="21"/>
      <c r="C574" s="22" t="s">
        <v>314</v>
      </c>
      <c r="D574" s="13" t="s">
        <v>33</v>
      </c>
      <c r="E574" s="16">
        <f>0.0488*1000/100</f>
        <v>0.488</v>
      </c>
      <c r="F574" s="17">
        <f>23.98*1.18*1.096*1.25*1.074*1.118*1.091*1.078*1.077*1.08</f>
        <v>63.68</v>
      </c>
      <c r="G574" s="13"/>
      <c r="H574" s="13" t="s">
        <v>336</v>
      </c>
      <c r="I574" s="17"/>
      <c r="J574" s="13"/>
      <c r="K574" s="15"/>
      <c r="L574" s="15">
        <f>'[5]Раздел №1'!$I$58</f>
        <v>421.6</v>
      </c>
      <c r="M574" s="24"/>
      <c r="N574" s="24">
        <f>E574*F574</f>
        <v>31.1</v>
      </c>
      <c r="O574" s="7" t="s">
        <v>479</v>
      </c>
    </row>
    <row r="575" spans="1:15" ht="12.75" customHeight="1" hidden="1" outlineLevel="2">
      <c r="A575" s="20"/>
      <c r="B575" s="21"/>
      <c r="C575" s="22" t="s">
        <v>315</v>
      </c>
      <c r="D575" s="13" t="s">
        <v>33</v>
      </c>
      <c r="E575" s="16">
        <f>0.0003*1000/100</f>
        <v>0.003</v>
      </c>
      <c r="F575" s="17">
        <f>25681.93/1120*1.18*1.096*1.25*1.074*1.118*1.091*1.078*1.077*1.08</f>
        <v>60.89</v>
      </c>
      <c r="G575" s="13"/>
      <c r="H575" s="13" t="s">
        <v>336</v>
      </c>
      <c r="I575" s="17"/>
      <c r="J575" s="13"/>
      <c r="K575" s="15"/>
      <c r="L575" s="15">
        <f>'[5]Раздел №1'!$I$58</f>
        <v>421.6</v>
      </c>
      <c r="M575" s="24"/>
      <c r="N575" s="24">
        <f>E575*F575</f>
        <v>0.2</v>
      </c>
      <c r="O575" s="7" t="s">
        <v>474</v>
      </c>
    </row>
    <row r="576" spans="1:15" ht="12.75" customHeight="1" hidden="1" outlineLevel="2">
      <c r="A576" s="20"/>
      <c r="B576" s="21"/>
      <c r="C576" s="22" t="s">
        <v>98</v>
      </c>
      <c r="D576" s="13" t="s">
        <v>33</v>
      </c>
      <c r="E576" s="16">
        <f>0.2/100</f>
        <v>0.002</v>
      </c>
      <c r="F576" s="17">
        <f>27.58*1.18*1.096*1.25*1.074*1.118*1.091*1.078*1.077*1.08</f>
        <v>73.24</v>
      </c>
      <c r="G576" s="13"/>
      <c r="H576" s="13" t="s">
        <v>336</v>
      </c>
      <c r="I576" s="17"/>
      <c r="J576" s="13"/>
      <c r="K576" s="15"/>
      <c r="L576" s="15">
        <f>'[5]Раздел №1'!$I$58</f>
        <v>421.6</v>
      </c>
      <c r="M576" s="24"/>
      <c r="N576" s="24">
        <f>E576*F576</f>
        <v>0.1</v>
      </c>
      <c r="O576" s="7" t="s">
        <v>443</v>
      </c>
    </row>
    <row r="577" spans="1:15" ht="12.75" customHeight="1" hidden="1" outlineLevel="2">
      <c r="A577" s="20"/>
      <c r="B577" s="21"/>
      <c r="C577" s="22" t="s">
        <v>316</v>
      </c>
      <c r="D577" s="13" t="s">
        <v>136</v>
      </c>
      <c r="E577" s="16">
        <f>408/100</f>
        <v>4.08</v>
      </c>
      <c r="F577" s="17">
        <f>7.66*1.096*1.25*1.18*1.074*1.118*1.091*1.078*1.077*1.08</f>
        <v>20.34</v>
      </c>
      <c r="G577" s="13"/>
      <c r="H577" s="13" t="s">
        <v>336</v>
      </c>
      <c r="I577" s="17"/>
      <c r="J577" s="13"/>
      <c r="K577" s="15"/>
      <c r="L577" s="15">
        <f>'[5]Раздел №1'!$I$58</f>
        <v>421.6</v>
      </c>
      <c r="M577" s="24"/>
      <c r="N577" s="24">
        <f>E577*F577</f>
        <v>83</v>
      </c>
      <c r="O577" s="7" t="s">
        <v>506</v>
      </c>
    </row>
    <row r="578" spans="1:14" ht="15" customHeight="1" outlineLevel="1" collapsed="1">
      <c r="A578" s="20" t="s">
        <v>742</v>
      </c>
      <c r="B578" s="21" t="s">
        <v>425</v>
      </c>
      <c r="C578" s="22"/>
      <c r="D578" s="13"/>
      <c r="E578" s="16"/>
      <c r="F578" s="32"/>
      <c r="G578" s="13" t="s">
        <v>93</v>
      </c>
      <c r="H578" s="34" t="s">
        <v>427</v>
      </c>
      <c r="I578" s="17">
        <f>(10.5+16.32)/100</f>
        <v>0.27</v>
      </c>
      <c r="J578" s="15">
        <v>1.2</v>
      </c>
      <c r="K578" s="17">
        <f>I578*J578</f>
        <v>0.32</v>
      </c>
      <c r="L578" s="15">
        <f>'[5]Раздел №1'!$I$58</f>
        <v>421.6</v>
      </c>
      <c r="M578" s="24">
        <f>K578*L578</f>
        <v>134.9</v>
      </c>
      <c r="N578" s="24">
        <f>SUM(N579:N579)</f>
        <v>0</v>
      </c>
    </row>
    <row r="579" spans="1:14" ht="12.75" customHeight="1" hidden="1" outlineLevel="2">
      <c r="A579" s="20"/>
      <c r="B579" s="21"/>
      <c r="C579" s="22" t="s">
        <v>426</v>
      </c>
      <c r="D579" s="13" t="s">
        <v>41</v>
      </c>
      <c r="E579" s="16">
        <v>1</v>
      </c>
      <c r="F579" s="17"/>
      <c r="G579" s="13"/>
      <c r="H579" s="34" t="s">
        <v>427</v>
      </c>
      <c r="I579" s="17"/>
      <c r="J579" s="13"/>
      <c r="K579" s="15"/>
      <c r="L579" s="15"/>
      <c r="M579" s="24"/>
      <c r="N579" s="24">
        <f>E579*F579</f>
        <v>0</v>
      </c>
    </row>
    <row r="580" spans="1:14" ht="12.75" customHeight="1" hidden="1" outlineLevel="1" collapsed="1">
      <c r="A580" s="20"/>
      <c r="B580" s="21"/>
      <c r="C580" s="22"/>
      <c r="D580" s="13"/>
      <c r="E580" s="16"/>
      <c r="F580" s="32"/>
      <c r="G580" s="13"/>
      <c r="H580" s="13"/>
      <c r="I580" s="17"/>
      <c r="J580" s="13"/>
      <c r="K580" s="15"/>
      <c r="L580" s="15"/>
      <c r="M580" s="24"/>
      <c r="N580" s="24"/>
    </row>
    <row r="581" spans="1:14" ht="13.5" customHeight="1" outlineLevel="1">
      <c r="A581" s="25">
        <v>5</v>
      </c>
      <c r="B581" s="26" t="s">
        <v>13</v>
      </c>
      <c r="C581" s="22"/>
      <c r="D581" s="13"/>
      <c r="E581" s="16"/>
      <c r="F581" s="32"/>
      <c r="G581" s="13"/>
      <c r="H581" s="13"/>
      <c r="I581" s="17"/>
      <c r="J581" s="13"/>
      <c r="K581" s="15"/>
      <c r="L581" s="15"/>
      <c r="M581" s="24"/>
      <c r="N581" s="24"/>
    </row>
    <row r="582" spans="1:15" s="12" customFormat="1" ht="12" customHeight="1" outlineLevel="1">
      <c r="A582" s="35" t="s">
        <v>743</v>
      </c>
      <c r="B582" s="21" t="s">
        <v>318</v>
      </c>
      <c r="C582" s="36"/>
      <c r="D582" s="13"/>
      <c r="E582" s="37"/>
      <c r="F582" s="32"/>
      <c r="G582" s="38"/>
      <c r="H582" s="38"/>
      <c r="I582" s="17"/>
      <c r="J582" s="38"/>
      <c r="K582" s="39"/>
      <c r="L582" s="39"/>
      <c r="M582" s="40"/>
      <c r="N582" s="40"/>
      <c r="O582" s="7"/>
    </row>
    <row r="583" spans="1:14" ht="12.75" customHeight="1" outlineLevel="1">
      <c r="A583" s="20"/>
      <c r="B583" s="21" t="s">
        <v>320</v>
      </c>
      <c r="C583" s="22"/>
      <c r="D583" s="13"/>
      <c r="E583" s="16"/>
      <c r="F583" s="32"/>
      <c r="G583" s="13" t="s">
        <v>93</v>
      </c>
      <c r="H583" s="13" t="s">
        <v>335</v>
      </c>
      <c r="I583" s="17">
        <f>228.35/100</f>
        <v>2.28</v>
      </c>
      <c r="J583" s="15">
        <v>1.2</v>
      </c>
      <c r="K583" s="17">
        <f>I583*J583</f>
        <v>2.74</v>
      </c>
      <c r="L583" s="15">
        <f>'[5]Раздел №1'!$I$61</f>
        <v>379.7</v>
      </c>
      <c r="M583" s="24">
        <f>K583*L583</f>
        <v>1040.4</v>
      </c>
      <c r="N583" s="24">
        <f>SUM(N584:N584)</f>
        <v>346.6</v>
      </c>
    </row>
    <row r="584" spans="1:15" ht="12.75" customHeight="1" hidden="1" outlineLevel="2">
      <c r="A584" s="20"/>
      <c r="B584" s="21"/>
      <c r="C584" s="65" t="s">
        <v>319</v>
      </c>
      <c r="D584" s="13" t="s">
        <v>230</v>
      </c>
      <c r="E584" s="16">
        <f>2.2/100</f>
        <v>0.022</v>
      </c>
      <c r="F584" s="17">
        <f>5933.39*1.096*1.25*1.18*1.074*1.118*1.091*1.078*1.077*1.08</f>
        <v>15755.58</v>
      </c>
      <c r="G584" s="13"/>
      <c r="H584" s="13" t="s">
        <v>335</v>
      </c>
      <c r="I584" s="17"/>
      <c r="J584" s="13"/>
      <c r="K584" s="15"/>
      <c r="L584" s="15">
        <f>'[5]Раздел №1'!$I$135</f>
        <v>159.9</v>
      </c>
      <c r="M584" s="24"/>
      <c r="N584" s="24">
        <f>E584*F584</f>
        <v>346.6</v>
      </c>
      <c r="O584" s="7" t="s">
        <v>523</v>
      </c>
    </row>
    <row r="585" spans="1:14" ht="12.75" customHeight="1" outlineLevel="1" collapsed="1">
      <c r="A585" s="20"/>
      <c r="B585" s="21" t="s">
        <v>321</v>
      </c>
      <c r="C585" s="22"/>
      <c r="D585" s="13"/>
      <c r="E585" s="16"/>
      <c r="F585" s="32"/>
      <c r="G585" s="13" t="s">
        <v>93</v>
      </c>
      <c r="H585" s="13" t="s">
        <v>334</v>
      </c>
      <c r="I585" s="17">
        <f>220.92/100</f>
        <v>2.21</v>
      </c>
      <c r="J585" s="15">
        <v>1.2</v>
      </c>
      <c r="K585" s="17">
        <f>I585*J585</f>
        <v>2.65</v>
      </c>
      <c r="L585" s="15">
        <f>'[5]Раздел №1'!$I$61</f>
        <v>379.7</v>
      </c>
      <c r="M585" s="24">
        <f>K585*L585</f>
        <v>1006.2</v>
      </c>
      <c r="N585" s="24">
        <f>SUM(N586:N589)</f>
        <v>336.7</v>
      </c>
    </row>
    <row r="586" spans="1:15" ht="12.75" customHeight="1" hidden="1" outlineLevel="2">
      <c r="A586" s="20"/>
      <c r="B586" s="21"/>
      <c r="C586" s="65" t="s">
        <v>322</v>
      </c>
      <c r="D586" s="13" t="s">
        <v>230</v>
      </c>
      <c r="E586" s="16">
        <f>2/100</f>
        <v>0.02</v>
      </c>
      <c r="F586" s="17">
        <f>4116.61*1.096*1.25*1.18*1.074*1.118*1.091*1.078*1.077*1.08</f>
        <v>10931.29</v>
      </c>
      <c r="G586" s="13"/>
      <c r="H586" s="13" t="s">
        <v>334</v>
      </c>
      <c r="I586" s="17"/>
      <c r="J586" s="13"/>
      <c r="K586" s="15"/>
      <c r="L586" s="15"/>
      <c r="M586" s="24"/>
      <c r="N586" s="24">
        <f>E586*F586</f>
        <v>218.6</v>
      </c>
      <c r="O586" s="7" t="s">
        <v>525</v>
      </c>
    </row>
    <row r="587" spans="1:15" ht="12.75" customHeight="1" hidden="1" outlineLevel="2">
      <c r="A587" s="20"/>
      <c r="B587" s="21"/>
      <c r="C587" s="22" t="s">
        <v>300</v>
      </c>
      <c r="D587" s="13" t="s">
        <v>33</v>
      </c>
      <c r="E587" s="16">
        <f>1.05*1000/100</f>
        <v>10.5</v>
      </c>
      <c r="F587" s="17">
        <f>4081.8/1010*1.18*1.096*1.25*1.074*1.118*1.091*1.078*1.077*1.08</f>
        <v>10.73</v>
      </c>
      <c r="G587" s="13"/>
      <c r="H587" s="13" t="s">
        <v>334</v>
      </c>
      <c r="I587" s="17"/>
      <c r="J587" s="13"/>
      <c r="K587" s="15"/>
      <c r="L587" s="15"/>
      <c r="M587" s="24"/>
      <c r="N587" s="24">
        <f>E587*F587</f>
        <v>112.7</v>
      </c>
      <c r="O587" s="7" t="s">
        <v>493</v>
      </c>
    </row>
    <row r="588" spans="1:15" ht="12.75" customHeight="1" hidden="1" outlineLevel="2">
      <c r="A588" s="20"/>
      <c r="B588" s="21"/>
      <c r="C588" s="22" t="s">
        <v>315</v>
      </c>
      <c r="D588" s="13" t="s">
        <v>33</v>
      </c>
      <c r="E588" s="16">
        <f>0.001*1000/100</f>
        <v>0.01</v>
      </c>
      <c r="F588" s="17">
        <f>25681.93/1120*1.18*1.096*1.25*1.074*1.118*1.091*1.078*1.077*1.08</f>
        <v>60.89</v>
      </c>
      <c r="G588" s="13"/>
      <c r="H588" s="13" t="s">
        <v>334</v>
      </c>
      <c r="I588" s="17"/>
      <c r="J588" s="13"/>
      <c r="K588" s="15"/>
      <c r="L588" s="15"/>
      <c r="M588" s="24"/>
      <c r="N588" s="24">
        <f>E588*F588</f>
        <v>0.6</v>
      </c>
      <c r="O588" s="7" t="s">
        <v>474</v>
      </c>
    </row>
    <row r="589" spans="1:15" ht="12.75" customHeight="1" hidden="1" outlineLevel="2">
      <c r="A589" s="20"/>
      <c r="B589" s="21"/>
      <c r="C589" s="22" t="s">
        <v>323</v>
      </c>
      <c r="D589" s="13" t="s">
        <v>41</v>
      </c>
      <c r="E589" s="16">
        <f>0.6*1000/100</f>
        <v>6</v>
      </c>
      <c r="F589" s="17">
        <f>301.68/1000*1.18*1.096*1.25*1.074*1.118*1.091*1.078*1.077*1.08</f>
        <v>0.8</v>
      </c>
      <c r="G589" s="13"/>
      <c r="H589" s="13" t="s">
        <v>334</v>
      </c>
      <c r="I589" s="17"/>
      <c r="J589" s="13"/>
      <c r="K589" s="15"/>
      <c r="L589" s="15"/>
      <c r="M589" s="24"/>
      <c r="N589" s="24">
        <f>E589*F589</f>
        <v>4.8</v>
      </c>
      <c r="O589" s="7" t="s">
        <v>486</v>
      </c>
    </row>
    <row r="590" spans="1:15" s="12" customFormat="1" ht="15" customHeight="1" outlineLevel="1" collapsed="1">
      <c r="A590" s="35" t="s">
        <v>744</v>
      </c>
      <c r="B590" s="21" t="s">
        <v>324</v>
      </c>
      <c r="C590" s="36"/>
      <c r="D590" s="13"/>
      <c r="E590" s="37"/>
      <c r="F590" s="32"/>
      <c r="G590" s="38"/>
      <c r="H590" s="38"/>
      <c r="I590" s="17"/>
      <c r="J590" s="38"/>
      <c r="K590" s="39"/>
      <c r="L590" s="39"/>
      <c r="M590" s="40"/>
      <c r="N590" s="40"/>
      <c r="O590" s="7"/>
    </row>
    <row r="591" spans="1:14" ht="12" customHeight="1" hidden="1" outlineLevel="1">
      <c r="A591" s="20"/>
      <c r="B591" s="21" t="s">
        <v>320</v>
      </c>
      <c r="C591" s="22"/>
      <c r="D591" s="13"/>
      <c r="E591" s="16"/>
      <c r="F591" s="32"/>
      <c r="G591" s="13" t="s">
        <v>93</v>
      </c>
      <c r="H591" s="13" t="s">
        <v>333</v>
      </c>
      <c r="I591" s="17">
        <f>290.27/100</f>
        <v>2.9</v>
      </c>
      <c r="J591" s="15">
        <v>1.2</v>
      </c>
      <c r="K591" s="17">
        <f>I591*J591</f>
        <v>3.48</v>
      </c>
      <c r="L591" s="15">
        <v>0</v>
      </c>
      <c r="M591" s="24">
        <f>K591*L591</f>
        <v>0</v>
      </c>
      <c r="N591" s="24">
        <f>SUM(N592:N592)</f>
        <v>362.4</v>
      </c>
    </row>
    <row r="592" spans="1:15" ht="12.75" customHeight="1" hidden="1" outlineLevel="2">
      <c r="A592" s="20"/>
      <c r="B592" s="21"/>
      <c r="C592" s="65" t="s">
        <v>319</v>
      </c>
      <c r="D592" s="13" t="s">
        <v>230</v>
      </c>
      <c r="E592" s="16">
        <f>2.31/100</f>
        <v>0.023</v>
      </c>
      <c r="F592" s="17">
        <f>5933.39*1.096*1.25*1.18*1.074*1.118*1.091*1.078*1.077*1.08</f>
        <v>15755.58</v>
      </c>
      <c r="G592" s="13"/>
      <c r="H592" s="13" t="s">
        <v>333</v>
      </c>
      <c r="I592" s="17"/>
      <c r="J592" s="13"/>
      <c r="K592" s="15"/>
      <c r="L592" s="15"/>
      <c r="M592" s="24"/>
      <c r="N592" s="24">
        <f>E592*F592</f>
        <v>362.4</v>
      </c>
      <c r="O592" s="7" t="s">
        <v>523</v>
      </c>
    </row>
    <row r="593" spans="1:14" ht="12.75" customHeight="1" outlineLevel="1" collapsed="1">
      <c r="A593" s="20"/>
      <c r="B593" s="21" t="s">
        <v>321</v>
      </c>
      <c r="C593" s="22"/>
      <c r="D593" s="13"/>
      <c r="E593" s="16"/>
      <c r="F593" s="32"/>
      <c r="G593" s="13" t="s">
        <v>93</v>
      </c>
      <c r="H593" s="13" t="s">
        <v>332</v>
      </c>
      <c r="I593" s="17">
        <f>255.53/100</f>
        <v>2.56</v>
      </c>
      <c r="J593" s="15">
        <v>1.2</v>
      </c>
      <c r="K593" s="17">
        <f>I593*J593</f>
        <v>3.07</v>
      </c>
      <c r="L593" s="15">
        <f>'[5]Раздел №1'!$I$61</f>
        <v>379.7</v>
      </c>
      <c r="M593" s="24">
        <f>K593*L593</f>
        <v>1165.7</v>
      </c>
      <c r="N593" s="24">
        <f>SUM(N594:N597)</f>
        <v>353.4</v>
      </c>
    </row>
    <row r="594" spans="1:15" ht="12.75" customHeight="1" hidden="1" outlineLevel="2">
      <c r="A594" s="20"/>
      <c r="B594" s="21"/>
      <c r="C594" s="22" t="s">
        <v>322</v>
      </c>
      <c r="D594" s="13" t="s">
        <v>230</v>
      </c>
      <c r="E594" s="16">
        <f>2.1/100</f>
        <v>0.021</v>
      </c>
      <c r="F594" s="17">
        <f>4116.61*1.096*1.25*1.18*1.074*1.118*1.091*1.078*1.077*1.08</f>
        <v>10931.29</v>
      </c>
      <c r="G594" s="13"/>
      <c r="H594" s="13" t="s">
        <v>332</v>
      </c>
      <c r="I594" s="17"/>
      <c r="J594" s="13"/>
      <c r="K594" s="15"/>
      <c r="L594" s="15"/>
      <c r="M594" s="24"/>
      <c r="N594" s="24">
        <f>E594*F594</f>
        <v>229.6</v>
      </c>
      <c r="O594" s="7" t="s">
        <v>525</v>
      </c>
    </row>
    <row r="595" spans="1:15" ht="12.75" customHeight="1" hidden="1" outlineLevel="2">
      <c r="A595" s="20"/>
      <c r="B595" s="21"/>
      <c r="C595" s="22" t="s">
        <v>300</v>
      </c>
      <c r="D595" s="13" t="s">
        <v>33</v>
      </c>
      <c r="E595" s="16">
        <f>1.1*1000/100</f>
        <v>11</v>
      </c>
      <c r="F595" s="17">
        <f>4081.8/1010*1.18*1.096*1.25*1.074*1.118*1.091*1.078*1.077*1.08</f>
        <v>10.73</v>
      </c>
      <c r="G595" s="13"/>
      <c r="H595" s="13" t="s">
        <v>332</v>
      </c>
      <c r="I595" s="17"/>
      <c r="J595" s="13"/>
      <c r="K595" s="15"/>
      <c r="L595" s="15"/>
      <c r="M595" s="24"/>
      <c r="N595" s="24">
        <f>E595*F595</f>
        <v>118</v>
      </c>
      <c r="O595" s="7" t="s">
        <v>493</v>
      </c>
    </row>
    <row r="596" spans="1:15" ht="12.75" customHeight="1" hidden="1" outlineLevel="2">
      <c r="A596" s="20"/>
      <c r="B596" s="21"/>
      <c r="C596" s="22" t="s">
        <v>315</v>
      </c>
      <c r="D596" s="13" t="s">
        <v>33</v>
      </c>
      <c r="E596" s="16">
        <f>0.001*1000/100</f>
        <v>0.01</v>
      </c>
      <c r="F596" s="17">
        <f>25681.93/1120*1.18*1.096*1.25*1.074*1.118*1.091*1.078*1.077*1.08</f>
        <v>60.89</v>
      </c>
      <c r="G596" s="13"/>
      <c r="H596" s="13" t="s">
        <v>332</v>
      </c>
      <c r="I596" s="17"/>
      <c r="J596" s="13"/>
      <c r="K596" s="15"/>
      <c r="L596" s="15"/>
      <c r="M596" s="24"/>
      <c r="N596" s="24">
        <f>E596*F596</f>
        <v>0.6</v>
      </c>
      <c r="O596" s="7" t="s">
        <v>474</v>
      </c>
    </row>
    <row r="597" spans="1:15" ht="12.75" customHeight="1" hidden="1" outlineLevel="2">
      <c r="A597" s="20"/>
      <c r="B597" s="21"/>
      <c r="C597" s="22" t="s">
        <v>323</v>
      </c>
      <c r="D597" s="13" t="s">
        <v>41</v>
      </c>
      <c r="E597" s="16">
        <f>0.65*1000/100</f>
        <v>6.5</v>
      </c>
      <c r="F597" s="17">
        <f>301.68/1000*1.18*1.096*1.25*1.074*1.118*1.091*1.078*1.077*1.08</f>
        <v>0.8</v>
      </c>
      <c r="G597" s="13"/>
      <c r="H597" s="13" t="s">
        <v>332</v>
      </c>
      <c r="I597" s="17"/>
      <c r="J597" s="13"/>
      <c r="K597" s="15"/>
      <c r="L597" s="15"/>
      <c r="M597" s="24"/>
      <c r="N597" s="24">
        <f>E597*F597</f>
        <v>5.2</v>
      </c>
      <c r="O597" s="7" t="s">
        <v>486</v>
      </c>
    </row>
    <row r="598" spans="1:14" ht="12.75" customHeight="1" outlineLevel="1" collapsed="1">
      <c r="A598" s="20" t="s">
        <v>745</v>
      </c>
      <c r="B598" s="21" t="s">
        <v>325</v>
      </c>
      <c r="C598" s="22"/>
      <c r="D598" s="13"/>
      <c r="E598" s="16"/>
      <c r="F598" s="32"/>
      <c r="G598" s="13"/>
      <c r="H598" s="13"/>
      <c r="I598" s="17"/>
      <c r="J598" s="15"/>
      <c r="K598" s="17"/>
      <c r="L598" s="15"/>
      <c r="M598" s="24"/>
      <c r="N598" s="24"/>
    </row>
    <row r="599" spans="1:14" ht="12.75" customHeight="1" outlineLevel="1">
      <c r="A599" s="20"/>
      <c r="B599" s="21" t="s">
        <v>326</v>
      </c>
      <c r="C599" s="22"/>
      <c r="D599" s="13"/>
      <c r="E599" s="16"/>
      <c r="F599" s="32"/>
      <c r="G599" s="13" t="s">
        <v>93</v>
      </c>
      <c r="H599" s="13" t="s">
        <v>331</v>
      </c>
      <c r="I599" s="17">
        <f>349.45/100</f>
        <v>3.49</v>
      </c>
      <c r="J599" s="15">
        <v>1.2</v>
      </c>
      <c r="K599" s="17">
        <f>I599*J599</f>
        <v>4.19</v>
      </c>
      <c r="L599" s="15">
        <f>'[5]Раздел №1'!$I$61</f>
        <v>379.7</v>
      </c>
      <c r="M599" s="24">
        <f>K599*L599</f>
        <v>1590.9</v>
      </c>
      <c r="N599" s="24">
        <f>SUM(N600:N603)</f>
        <v>467.4</v>
      </c>
    </row>
    <row r="600" spans="1:15" ht="12.75" customHeight="1" hidden="1" outlineLevel="2">
      <c r="A600" s="20"/>
      <c r="B600" s="21"/>
      <c r="C600" s="22" t="s">
        <v>322</v>
      </c>
      <c r="D600" s="13" t="s">
        <v>230</v>
      </c>
      <c r="E600" s="16">
        <f>3.2/100</f>
        <v>0.032</v>
      </c>
      <c r="F600" s="17">
        <f>4116.61*1.096*1.25*1.18*1.074*1.118*1.091*1.078*1.077*1.08</f>
        <v>10931.29</v>
      </c>
      <c r="G600" s="13"/>
      <c r="H600" s="13" t="s">
        <v>331</v>
      </c>
      <c r="I600" s="17"/>
      <c r="J600" s="13"/>
      <c r="K600" s="15"/>
      <c r="L600" s="15">
        <f>'[5]Раздел №1'!$I$136</f>
        <v>159.9</v>
      </c>
      <c r="M600" s="24"/>
      <c r="N600" s="24">
        <f>E600*F600</f>
        <v>349.8</v>
      </c>
      <c r="O600" s="7" t="s">
        <v>525</v>
      </c>
    </row>
    <row r="601" spans="1:15" ht="12.75" customHeight="1" hidden="1" outlineLevel="2">
      <c r="A601" s="20"/>
      <c r="B601" s="21"/>
      <c r="C601" s="22" t="s">
        <v>300</v>
      </c>
      <c r="D601" s="13" t="s">
        <v>33</v>
      </c>
      <c r="E601" s="16">
        <f>1.04*1000/100</f>
        <v>10.4</v>
      </c>
      <c r="F601" s="17">
        <f>4081.8/1010*1.18*1.096*1.25*1.074*1.118*1.091*1.078*1.077*1.08</f>
        <v>10.73</v>
      </c>
      <c r="G601" s="13"/>
      <c r="H601" s="13" t="s">
        <v>331</v>
      </c>
      <c r="I601" s="17"/>
      <c r="J601" s="13"/>
      <c r="K601" s="15"/>
      <c r="L601" s="15">
        <f>'[5]Раздел №1'!$I$136</f>
        <v>159.9</v>
      </c>
      <c r="M601" s="24"/>
      <c r="N601" s="24">
        <f>E601*F601</f>
        <v>111.6</v>
      </c>
      <c r="O601" s="7" t="s">
        <v>493</v>
      </c>
    </row>
    <row r="602" spans="1:15" ht="12.75" customHeight="1" hidden="1" outlineLevel="2">
      <c r="A602" s="20"/>
      <c r="B602" s="21"/>
      <c r="C602" s="22" t="s">
        <v>315</v>
      </c>
      <c r="D602" s="13" t="s">
        <v>33</v>
      </c>
      <c r="E602" s="16">
        <f>0.00134*1000/100</f>
        <v>0.013</v>
      </c>
      <c r="F602" s="17">
        <f>25681.93/1120*1.18*1.096*1.25*1.074*1.118*1.091*1.078*1.077*1.08</f>
        <v>60.89</v>
      </c>
      <c r="G602" s="13"/>
      <c r="H602" s="13" t="s">
        <v>331</v>
      </c>
      <c r="I602" s="17"/>
      <c r="J602" s="13"/>
      <c r="K602" s="15"/>
      <c r="L602" s="15">
        <f>'[5]Раздел №1'!$I$136</f>
        <v>159.9</v>
      </c>
      <c r="M602" s="24"/>
      <c r="N602" s="24">
        <f>E602*F602</f>
        <v>0.8</v>
      </c>
      <c r="O602" s="7" t="s">
        <v>474</v>
      </c>
    </row>
    <row r="603" spans="1:15" ht="12.75" customHeight="1" hidden="1" outlineLevel="2">
      <c r="A603" s="20"/>
      <c r="B603" s="21"/>
      <c r="C603" s="22" t="s">
        <v>323</v>
      </c>
      <c r="D603" s="13" t="s">
        <v>41</v>
      </c>
      <c r="E603" s="16">
        <f>0.65*1000/100</f>
        <v>6.5</v>
      </c>
      <c r="F603" s="17">
        <f>301.68/1000*1.18*1.096*1.25*1.074*1.118*1.091*1.078*1.077*1.08</f>
        <v>0.8</v>
      </c>
      <c r="G603" s="13"/>
      <c r="H603" s="13" t="s">
        <v>331</v>
      </c>
      <c r="I603" s="17"/>
      <c r="J603" s="13"/>
      <c r="K603" s="15"/>
      <c r="L603" s="15">
        <f>'[5]Раздел №1'!$I$136</f>
        <v>159.9</v>
      </c>
      <c r="M603" s="24"/>
      <c r="N603" s="24">
        <f>E603*F603</f>
        <v>5.2</v>
      </c>
      <c r="O603" s="7" t="s">
        <v>486</v>
      </c>
    </row>
    <row r="604" spans="1:14" ht="12.75" customHeight="1" outlineLevel="1" collapsed="1">
      <c r="A604" s="20"/>
      <c r="B604" s="21" t="s">
        <v>327</v>
      </c>
      <c r="C604" s="22"/>
      <c r="D604" s="13"/>
      <c r="E604" s="16"/>
      <c r="F604" s="32"/>
      <c r="G604" s="13" t="s">
        <v>93</v>
      </c>
      <c r="H604" s="13" t="s">
        <v>330</v>
      </c>
      <c r="I604" s="17">
        <f>393.45/100</f>
        <v>3.93</v>
      </c>
      <c r="J604" s="15">
        <v>1.2</v>
      </c>
      <c r="K604" s="17">
        <f>I604*J604</f>
        <v>4.72</v>
      </c>
      <c r="L604" s="15">
        <f>'[5]Раздел №1'!$I$61</f>
        <v>379.7</v>
      </c>
      <c r="M604" s="24">
        <f>K604*L604</f>
        <v>1792.2</v>
      </c>
      <c r="N604" s="24">
        <f>SUM(N605:N608)</f>
        <v>467.4</v>
      </c>
    </row>
    <row r="605" spans="1:15" ht="12.75" customHeight="1" hidden="1" outlineLevel="2">
      <c r="A605" s="20"/>
      <c r="B605" s="21"/>
      <c r="C605" s="22" t="s">
        <v>322</v>
      </c>
      <c r="D605" s="13" t="s">
        <v>230</v>
      </c>
      <c r="E605" s="16">
        <f>3.2/100</f>
        <v>0.032</v>
      </c>
      <c r="F605" s="17">
        <f>4116.61*1.096*1.25*1.18*1.074*1.091*1.118*1.078*1.077*1.08</f>
        <v>10931.29</v>
      </c>
      <c r="G605" s="13"/>
      <c r="H605" s="13" t="s">
        <v>330</v>
      </c>
      <c r="I605" s="17"/>
      <c r="J605" s="13"/>
      <c r="K605" s="15"/>
      <c r="L605" s="15">
        <f>'[5]Раздел №1'!$I$136</f>
        <v>159.9</v>
      </c>
      <c r="M605" s="24"/>
      <c r="N605" s="24">
        <f>E605*F605</f>
        <v>349.8</v>
      </c>
      <c r="O605" s="7" t="s">
        <v>525</v>
      </c>
    </row>
    <row r="606" spans="1:15" ht="12.75" customHeight="1" hidden="1" outlineLevel="2">
      <c r="A606" s="20"/>
      <c r="B606" s="21"/>
      <c r="C606" s="22" t="s">
        <v>300</v>
      </c>
      <c r="D606" s="13" t="s">
        <v>33</v>
      </c>
      <c r="E606" s="16">
        <f>1.04*1000/100</f>
        <v>10.4</v>
      </c>
      <c r="F606" s="17">
        <f>4081.8/1010*1.18*1.096*1.25*1.074*1.118*1.091*1.078*1.077*1.08</f>
        <v>10.73</v>
      </c>
      <c r="G606" s="13"/>
      <c r="H606" s="13" t="s">
        <v>330</v>
      </c>
      <c r="I606" s="17"/>
      <c r="J606" s="13"/>
      <c r="K606" s="15"/>
      <c r="L606" s="15">
        <f>'[5]Раздел №1'!$I$136</f>
        <v>159.9</v>
      </c>
      <c r="M606" s="24"/>
      <c r="N606" s="24">
        <f>E606*F606</f>
        <v>111.6</v>
      </c>
      <c r="O606" s="7" t="s">
        <v>493</v>
      </c>
    </row>
    <row r="607" spans="1:15" ht="12.75" customHeight="1" hidden="1" outlineLevel="2">
      <c r="A607" s="20"/>
      <c r="B607" s="21"/>
      <c r="C607" s="22" t="s">
        <v>315</v>
      </c>
      <c r="D607" s="13" t="s">
        <v>33</v>
      </c>
      <c r="E607" s="16">
        <f>0.00134*1000/100</f>
        <v>0.013</v>
      </c>
      <c r="F607" s="17">
        <f>25681.93/1120*1.18*1.096*1.25*1.074*1.118*1.091*1.078*1.077*1.08</f>
        <v>60.89</v>
      </c>
      <c r="G607" s="13"/>
      <c r="H607" s="13" t="s">
        <v>330</v>
      </c>
      <c r="I607" s="17"/>
      <c r="J607" s="13"/>
      <c r="K607" s="15"/>
      <c r="L607" s="15">
        <f>'[5]Раздел №1'!$I$136</f>
        <v>159.9</v>
      </c>
      <c r="M607" s="24"/>
      <c r="N607" s="24">
        <f>E607*F607</f>
        <v>0.8</v>
      </c>
      <c r="O607" s="7" t="s">
        <v>474</v>
      </c>
    </row>
    <row r="608" spans="1:15" ht="12.75" customHeight="1" hidden="1" outlineLevel="2">
      <c r="A608" s="20"/>
      <c r="B608" s="21"/>
      <c r="C608" s="22" t="s">
        <v>323</v>
      </c>
      <c r="D608" s="13" t="s">
        <v>41</v>
      </c>
      <c r="E608" s="16">
        <f>0.65*1000/100</f>
        <v>6.5</v>
      </c>
      <c r="F608" s="17">
        <f>301.68/1000*1.18*1.096*1.25*1.074*1.118*1.091*1.078*1.077*1.08</f>
        <v>0.8</v>
      </c>
      <c r="G608" s="13"/>
      <c r="H608" s="13" t="s">
        <v>330</v>
      </c>
      <c r="I608" s="17"/>
      <c r="J608" s="13"/>
      <c r="K608" s="15"/>
      <c r="L608" s="15">
        <f>'[5]Раздел №1'!$I$136</f>
        <v>159.9</v>
      </c>
      <c r="M608" s="24"/>
      <c r="N608" s="24">
        <f>E608*F608</f>
        <v>5.2</v>
      </c>
      <c r="O608" s="7" t="s">
        <v>486</v>
      </c>
    </row>
    <row r="609" spans="1:14" ht="12.75" customHeight="1" outlineLevel="1" collapsed="1">
      <c r="A609" s="20" t="s">
        <v>746</v>
      </c>
      <c r="B609" s="21" t="s">
        <v>328</v>
      </c>
      <c r="C609" s="22"/>
      <c r="D609" s="13"/>
      <c r="E609" s="16"/>
      <c r="F609" s="32"/>
      <c r="G609" s="20"/>
      <c r="H609" s="13"/>
      <c r="I609" s="17"/>
      <c r="J609" s="13"/>
      <c r="K609" s="13"/>
      <c r="L609" s="15">
        <f>'[5]Раздел №1'!$I$136</f>
        <v>159.9</v>
      </c>
      <c r="M609" s="20"/>
      <c r="N609" s="24"/>
    </row>
    <row r="610" spans="1:14" ht="12.75" customHeight="1" outlineLevel="1">
      <c r="A610" s="20"/>
      <c r="B610" s="21" t="s">
        <v>329</v>
      </c>
      <c r="C610" s="22"/>
      <c r="D610" s="13"/>
      <c r="E610" s="16"/>
      <c r="F610" s="32"/>
      <c r="G610" s="13" t="s">
        <v>93</v>
      </c>
      <c r="H610" s="13" t="s">
        <v>369</v>
      </c>
      <c r="I610" s="17">
        <f>58.25/100</f>
        <v>0.58</v>
      </c>
      <c r="J610" s="15">
        <v>1.2</v>
      </c>
      <c r="K610" s="17">
        <f>I610*J610</f>
        <v>0.7</v>
      </c>
      <c r="L610" s="15">
        <f>'[5]Раздел №1'!$I$61</f>
        <v>379.7</v>
      </c>
      <c r="M610" s="24">
        <f>K610*L610</f>
        <v>265.8</v>
      </c>
      <c r="N610" s="24">
        <f>SUM(N611:N616)</f>
        <v>93.7</v>
      </c>
    </row>
    <row r="611" spans="1:15" ht="12.75" customHeight="1" hidden="1" outlineLevel="2">
      <c r="A611" s="20"/>
      <c r="B611" s="21"/>
      <c r="C611" s="22" t="s">
        <v>56</v>
      </c>
      <c r="D611" s="13" t="s">
        <v>33</v>
      </c>
      <c r="E611" s="16">
        <f>0.0172*1000/100</f>
        <v>0.172</v>
      </c>
      <c r="F611" s="17">
        <f>49207.49/1110*1.18*1.096*1.25*1.074*1.091*1.118*1.078*1.077*1.08</f>
        <v>117.72</v>
      </c>
      <c r="G611" s="13"/>
      <c r="H611" s="13" t="s">
        <v>369</v>
      </c>
      <c r="I611" s="17"/>
      <c r="J611" s="13"/>
      <c r="K611" s="15"/>
      <c r="L611" s="15">
        <f>'[5]Раздел №1'!$I$136</f>
        <v>159.9</v>
      </c>
      <c r="M611" s="24"/>
      <c r="N611" s="24">
        <f aca="true" t="shared" si="20" ref="N611:N616">E611*F611</f>
        <v>20.2</v>
      </c>
      <c r="O611" s="7" t="s">
        <v>448</v>
      </c>
    </row>
    <row r="612" spans="1:15" ht="12.75" customHeight="1" hidden="1" outlineLevel="2">
      <c r="A612" s="20"/>
      <c r="B612" s="21"/>
      <c r="C612" s="22" t="s">
        <v>58</v>
      </c>
      <c r="D612" s="13" t="s">
        <v>33</v>
      </c>
      <c r="E612" s="16">
        <f>0.0102*1000/100</f>
        <v>0.102</v>
      </c>
      <c r="F612" s="17">
        <f>74.29/1.2*1.096*1.25*1.18*1.074*1.118*1.091*1.078*1.077*1.08</f>
        <v>164.39</v>
      </c>
      <c r="G612" s="13"/>
      <c r="H612" s="13" t="s">
        <v>369</v>
      </c>
      <c r="I612" s="17"/>
      <c r="J612" s="13"/>
      <c r="K612" s="15"/>
      <c r="L612" s="15">
        <f>'[5]Раздел №1'!$I$136</f>
        <v>159.9</v>
      </c>
      <c r="M612" s="24"/>
      <c r="N612" s="24">
        <f t="shared" si="20"/>
        <v>16.8</v>
      </c>
      <c r="O612" s="7" t="s">
        <v>442</v>
      </c>
    </row>
    <row r="613" spans="1:15" ht="12.75" customHeight="1" hidden="1" outlineLevel="2">
      <c r="A613" s="20"/>
      <c r="B613" s="21"/>
      <c r="C613" s="65" t="s">
        <v>370</v>
      </c>
      <c r="D613" s="13" t="s">
        <v>33</v>
      </c>
      <c r="E613" s="16">
        <f>0.0532*1000/100</f>
        <v>0.532</v>
      </c>
      <c r="F613" s="17">
        <f>46696.75/1260*1.096*1.25*1.18*1.074*1.118*1.091*1.078*1.077*1.08</f>
        <v>98.41</v>
      </c>
      <c r="G613" s="13"/>
      <c r="H613" s="13" t="s">
        <v>369</v>
      </c>
      <c r="I613" s="17"/>
      <c r="J613" s="13"/>
      <c r="K613" s="15"/>
      <c r="L613" s="15">
        <f>'[5]Раздел №1'!$I$136</f>
        <v>159.9</v>
      </c>
      <c r="M613" s="24"/>
      <c r="N613" s="24">
        <f t="shared" si="20"/>
        <v>52.4</v>
      </c>
      <c r="O613" s="7" t="s">
        <v>686</v>
      </c>
    </row>
    <row r="614" spans="1:15" ht="12.75" customHeight="1" hidden="1" outlineLevel="2">
      <c r="A614" s="20"/>
      <c r="B614" s="21"/>
      <c r="C614" s="22" t="s">
        <v>371</v>
      </c>
      <c r="D614" s="13" t="s">
        <v>100</v>
      </c>
      <c r="E614" s="16">
        <f>0.0016*1000/100</f>
        <v>0.016</v>
      </c>
      <c r="F614" s="17">
        <f>100020.43/1000*1.18*1.096*1.25*1.074*1.118*1.091*1.078*1.077*1.08</f>
        <v>265.6</v>
      </c>
      <c r="G614" s="13"/>
      <c r="H614" s="13" t="s">
        <v>369</v>
      </c>
      <c r="I614" s="17"/>
      <c r="J614" s="13"/>
      <c r="K614" s="15"/>
      <c r="L614" s="15">
        <f>'[5]Раздел №1'!$I$136</f>
        <v>159.9</v>
      </c>
      <c r="M614" s="24"/>
      <c r="N614" s="24">
        <f t="shared" si="20"/>
        <v>4.2</v>
      </c>
      <c r="O614" s="7" t="s">
        <v>469</v>
      </c>
    </row>
    <row r="615" spans="1:15" ht="12.75" customHeight="1" hidden="1" outlineLevel="2">
      <c r="A615" s="20"/>
      <c r="B615" s="21"/>
      <c r="C615" s="22" t="s">
        <v>372</v>
      </c>
      <c r="D615" s="13" t="s">
        <v>230</v>
      </c>
      <c r="E615" s="16">
        <f>0.0044/100</f>
        <v>0</v>
      </c>
      <c r="F615" s="17">
        <f>256.95*1.096*1.25*1.18*1.074*1.118*1.091*1.078*1.077*1.08</f>
        <v>682.31</v>
      </c>
      <c r="G615" s="20"/>
      <c r="H615" s="13" t="s">
        <v>369</v>
      </c>
      <c r="I615" s="17"/>
      <c r="J615" s="13"/>
      <c r="K615" s="13"/>
      <c r="L615" s="15">
        <f>'[5]Раздел №1'!$I$136</f>
        <v>159.9</v>
      </c>
      <c r="M615" s="20"/>
      <c r="N615" s="24">
        <f t="shared" si="20"/>
        <v>0</v>
      </c>
      <c r="O615" s="7" t="s">
        <v>522</v>
      </c>
    </row>
    <row r="616" spans="1:15" ht="12.75" customHeight="1" hidden="1" outlineLevel="2">
      <c r="A616" s="20"/>
      <c r="B616" s="21"/>
      <c r="C616" s="22" t="s">
        <v>98</v>
      </c>
      <c r="D616" s="13" t="s">
        <v>33</v>
      </c>
      <c r="E616" s="16">
        <f>0.21/100</f>
        <v>0.002</v>
      </c>
      <c r="F616" s="17">
        <f>27.58*1.18*1.096*1.25*1.074*1.118*1.091*1.078*1.077*1.08</f>
        <v>73.24</v>
      </c>
      <c r="G616" s="20"/>
      <c r="H616" s="13" t="s">
        <v>369</v>
      </c>
      <c r="I616" s="17"/>
      <c r="J616" s="13"/>
      <c r="K616" s="13"/>
      <c r="L616" s="15">
        <f>'[5]Раздел №1'!$I$136</f>
        <v>159.9</v>
      </c>
      <c r="M616" s="20"/>
      <c r="N616" s="24">
        <f t="shared" si="20"/>
        <v>0.1</v>
      </c>
      <c r="O616" s="7" t="s">
        <v>443</v>
      </c>
    </row>
    <row r="617" spans="1:14" ht="12.75" customHeight="1" outlineLevel="1" collapsed="1">
      <c r="A617" s="20"/>
      <c r="B617" s="21" t="s">
        <v>373</v>
      </c>
      <c r="C617" s="22"/>
      <c r="D617" s="13"/>
      <c r="E617" s="16"/>
      <c r="F617" s="32"/>
      <c r="G617" s="13" t="s">
        <v>93</v>
      </c>
      <c r="H617" s="13" t="s">
        <v>374</v>
      </c>
      <c r="I617" s="17">
        <f>69.77/100</f>
        <v>0.7</v>
      </c>
      <c r="J617" s="15">
        <v>1.2</v>
      </c>
      <c r="K617" s="17">
        <f>I617*J617</f>
        <v>0.84</v>
      </c>
      <c r="L617" s="15">
        <f>'[5]Раздел №1'!$I$61</f>
        <v>379.7</v>
      </c>
      <c r="M617" s="24">
        <f>K617*L617</f>
        <v>318.9</v>
      </c>
      <c r="N617" s="24">
        <f>SUM(N618:N623)</f>
        <v>97.9</v>
      </c>
    </row>
    <row r="618" spans="1:15" ht="12.75" customHeight="1" hidden="1" outlineLevel="2">
      <c r="A618" s="20"/>
      <c r="B618" s="21"/>
      <c r="C618" s="22" t="s">
        <v>56</v>
      </c>
      <c r="D618" s="13" t="s">
        <v>33</v>
      </c>
      <c r="E618" s="16">
        <f>0.0187*1000/100</f>
        <v>0.187</v>
      </c>
      <c r="F618" s="17">
        <f>49207.49/1110*1.18*1.096*1.25*1.074*1.118*1.091*1.078*1.077*1.08</f>
        <v>117.72</v>
      </c>
      <c r="G618" s="13"/>
      <c r="H618" s="13" t="s">
        <v>374</v>
      </c>
      <c r="I618" s="17"/>
      <c r="J618" s="13"/>
      <c r="K618" s="15"/>
      <c r="L618" s="15">
        <f>'[5]Раздел №1'!$I$136</f>
        <v>159.9</v>
      </c>
      <c r="M618" s="24"/>
      <c r="N618" s="24">
        <f aca="true" t="shared" si="21" ref="N618:N623">E618*F618</f>
        <v>22</v>
      </c>
      <c r="O618" s="7" t="s">
        <v>448</v>
      </c>
    </row>
    <row r="619" spans="1:15" ht="12.75" customHeight="1" hidden="1" outlineLevel="2">
      <c r="A619" s="20"/>
      <c r="B619" s="21"/>
      <c r="C619" s="22" t="s">
        <v>58</v>
      </c>
      <c r="D619" s="13" t="s">
        <v>33</v>
      </c>
      <c r="E619" s="16">
        <f>0.0107*1000/100</f>
        <v>0.107</v>
      </c>
      <c r="F619" s="17">
        <f>74.29/1.2*1.096*1.25*1.18*1.074*1.118*1.091*1.091*1.078*1.077*1.08</f>
        <v>179.35</v>
      </c>
      <c r="G619" s="13"/>
      <c r="H619" s="13" t="s">
        <v>374</v>
      </c>
      <c r="I619" s="17"/>
      <c r="J619" s="13"/>
      <c r="K619" s="15"/>
      <c r="L619" s="15">
        <f>'[5]Раздел №1'!$I$136</f>
        <v>159.9</v>
      </c>
      <c r="M619" s="24"/>
      <c r="N619" s="24">
        <f t="shared" si="21"/>
        <v>19.2</v>
      </c>
      <c r="O619" s="7" t="s">
        <v>442</v>
      </c>
    </row>
    <row r="620" spans="1:15" ht="12.75" customHeight="1" hidden="1" outlineLevel="2">
      <c r="A620" s="20"/>
      <c r="B620" s="21"/>
      <c r="C620" s="65" t="s">
        <v>370</v>
      </c>
      <c r="D620" s="13" t="s">
        <v>33</v>
      </c>
      <c r="E620" s="16">
        <f>0.0532*1000/100</f>
        <v>0.532</v>
      </c>
      <c r="F620" s="17">
        <f>46696.75/1260*1.096*1.25*1.18*1.074*1.118*1.091*1.078*1.077*1.08</f>
        <v>98.41</v>
      </c>
      <c r="G620" s="13"/>
      <c r="H620" s="13" t="s">
        <v>374</v>
      </c>
      <c r="I620" s="17"/>
      <c r="J620" s="13"/>
      <c r="K620" s="15"/>
      <c r="L620" s="15">
        <f>'[5]Раздел №1'!$I$136</f>
        <v>159.9</v>
      </c>
      <c r="M620" s="24"/>
      <c r="N620" s="24">
        <f t="shared" si="21"/>
        <v>52.4</v>
      </c>
      <c r="O620" s="7" t="s">
        <v>498</v>
      </c>
    </row>
    <row r="621" spans="1:15" ht="12.75" customHeight="1" hidden="1" outlineLevel="2">
      <c r="A621" s="20"/>
      <c r="B621" s="21"/>
      <c r="C621" s="22" t="s">
        <v>371</v>
      </c>
      <c r="D621" s="13" t="s">
        <v>100</v>
      </c>
      <c r="E621" s="16">
        <f>0.0016*1000/100</f>
        <v>0.016</v>
      </c>
      <c r="F621" s="17">
        <f>100020.43/1000*1.18*1.096*1.25*1.074*1.118*1.091*1.078*1.077*1.08</f>
        <v>265.6</v>
      </c>
      <c r="G621" s="13"/>
      <c r="H621" s="13" t="s">
        <v>374</v>
      </c>
      <c r="I621" s="17"/>
      <c r="J621" s="13"/>
      <c r="K621" s="15"/>
      <c r="L621" s="15">
        <f>'[5]Раздел №1'!$I$136</f>
        <v>159.9</v>
      </c>
      <c r="M621" s="24"/>
      <c r="N621" s="24">
        <f t="shared" si="21"/>
        <v>4.2</v>
      </c>
      <c r="O621" s="7" t="s">
        <v>469</v>
      </c>
    </row>
    <row r="622" spans="1:15" ht="12.75" customHeight="1" hidden="1" outlineLevel="2">
      <c r="A622" s="20"/>
      <c r="B622" s="21"/>
      <c r="C622" s="22" t="s">
        <v>372</v>
      </c>
      <c r="D622" s="13" t="s">
        <v>230</v>
      </c>
      <c r="E622" s="16">
        <f>0.0044/100</f>
        <v>0</v>
      </c>
      <c r="F622" s="17">
        <f>256.95*1.096*1.25*1.18*1.074*1.118*1.091*1.078*1.077*1.08</f>
        <v>682.31</v>
      </c>
      <c r="G622" s="20"/>
      <c r="H622" s="13" t="s">
        <v>374</v>
      </c>
      <c r="I622" s="17"/>
      <c r="J622" s="13"/>
      <c r="K622" s="13"/>
      <c r="L622" s="15">
        <f>'[5]Раздел №1'!$I$136</f>
        <v>159.9</v>
      </c>
      <c r="M622" s="20"/>
      <c r="N622" s="24">
        <f t="shared" si="21"/>
        <v>0</v>
      </c>
      <c r="O622" s="7" t="s">
        <v>522</v>
      </c>
    </row>
    <row r="623" spans="1:15" ht="12.75" customHeight="1" hidden="1" outlineLevel="2">
      <c r="A623" s="20"/>
      <c r="B623" s="21"/>
      <c r="C623" s="22" t="s">
        <v>98</v>
      </c>
      <c r="D623" s="13" t="s">
        <v>33</v>
      </c>
      <c r="E623" s="16">
        <f>0.21/100</f>
        <v>0.002</v>
      </c>
      <c r="F623" s="17">
        <f>27.58*1.18*1.096*1.25*1.074*1.118*1.091*1.078*1.077*1.08</f>
        <v>73.24</v>
      </c>
      <c r="G623" s="20"/>
      <c r="H623" s="13" t="s">
        <v>374</v>
      </c>
      <c r="I623" s="17"/>
      <c r="J623" s="13"/>
      <c r="K623" s="13"/>
      <c r="L623" s="15">
        <f>'[5]Раздел №1'!$I$136</f>
        <v>159.9</v>
      </c>
      <c r="M623" s="20"/>
      <c r="N623" s="24">
        <f t="shared" si="21"/>
        <v>0.1</v>
      </c>
      <c r="O623" s="7" t="s">
        <v>443</v>
      </c>
    </row>
    <row r="624" spans="1:14" ht="12.75" customHeight="1" outlineLevel="1" collapsed="1">
      <c r="A624" s="20"/>
      <c r="B624" s="21" t="s">
        <v>375</v>
      </c>
      <c r="C624" s="22"/>
      <c r="D624" s="13"/>
      <c r="E624" s="16"/>
      <c r="F624" s="32"/>
      <c r="G624" s="13" t="s">
        <v>93</v>
      </c>
      <c r="H624" s="13" t="s">
        <v>378</v>
      </c>
      <c r="I624" s="17">
        <f>126.88/100</f>
        <v>1.27</v>
      </c>
      <c r="J624" s="15">
        <v>1.2</v>
      </c>
      <c r="K624" s="17">
        <f>I624*J624</f>
        <v>1.52</v>
      </c>
      <c r="L624" s="15">
        <f>'[5]Раздел №1'!$I$61</f>
        <v>379.7</v>
      </c>
      <c r="M624" s="24">
        <f>K624*L624</f>
        <v>577.1</v>
      </c>
      <c r="N624" s="24">
        <f>SUM(N625:N630)</f>
        <v>89.4</v>
      </c>
    </row>
    <row r="625" spans="1:15" ht="12.75" customHeight="1" hidden="1" outlineLevel="2">
      <c r="A625" s="20"/>
      <c r="B625" s="21"/>
      <c r="C625" s="22" t="s">
        <v>56</v>
      </c>
      <c r="D625" s="13" t="s">
        <v>33</v>
      </c>
      <c r="E625" s="16">
        <f>0.0181*1000/100</f>
        <v>0.181</v>
      </c>
      <c r="F625" s="17">
        <f>49207.49/1110*1.18*1.096*1.25*1.074*1.118*1.091*1.078*1.077*1.08</f>
        <v>117.72</v>
      </c>
      <c r="G625" s="13"/>
      <c r="H625" s="13" t="s">
        <v>378</v>
      </c>
      <c r="I625" s="17"/>
      <c r="J625" s="13"/>
      <c r="K625" s="15"/>
      <c r="L625" s="15">
        <f>'[5]Раздел №1'!$I$136</f>
        <v>159.9</v>
      </c>
      <c r="M625" s="24"/>
      <c r="N625" s="24">
        <f aca="true" t="shared" si="22" ref="N625:N630">E625*F625</f>
        <v>21.3</v>
      </c>
      <c r="O625" s="7" t="s">
        <v>448</v>
      </c>
    </row>
    <row r="626" spans="1:15" ht="12.75" customHeight="1" hidden="1" outlineLevel="2">
      <c r="A626" s="20"/>
      <c r="B626" s="21"/>
      <c r="C626" s="22" t="s">
        <v>58</v>
      </c>
      <c r="D626" s="13" t="s">
        <v>33</v>
      </c>
      <c r="E626" s="16">
        <f>0.0092*1000/100</f>
        <v>0.092</v>
      </c>
      <c r="F626" s="17">
        <f>74.29/1.2*1.096*1.25*1.18*1.074*1.118*1.091*1.078*1.077*1.08</f>
        <v>164.39</v>
      </c>
      <c r="G626" s="13"/>
      <c r="H626" s="13" t="s">
        <v>378</v>
      </c>
      <c r="I626" s="17"/>
      <c r="J626" s="13"/>
      <c r="K626" s="15"/>
      <c r="L626" s="15">
        <f>'[5]Раздел №1'!$I$136</f>
        <v>159.9</v>
      </c>
      <c r="M626" s="24"/>
      <c r="N626" s="24">
        <f t="shared" si="22"/>
        <v>15.1</v>
      </c>
      <c r="O626" s="7" t="s">
        <v>442</v>
      </c>
    </row>
    <row r="627" spans="1:15" ht="12.75" customHeight="1" hidden="1" outlineLevel="2">
      <c r="A627" s="20"/>
      <c r="B627" s="21"/>
      <c r="C627" s="65" t="s">
        <v>370</v>
      </c>
      <c r="D627" s="13" t="s">
        <v>33</v>
      </c>
      <c r="E627" s="16">
        <f>0.0495*1000/100</f>
        <v>0.495</v>
      </c>
      <c r="F627" s="17">
        <f>46696.75/1260*1.096*1.25*1.18*1.074*1.118*1.091*1.078*1.077*1.08</f>
        <v>98.41</v>
      </c>
      <c r="G627" s="13"/>
      <c r="H627" s="13" t="s">
        <v>378</v>
      </c>
      <c r="I627" s="17"/>
      <c r="J627" s="13"/>
      <c r="K627" s="15"/>
      <c r="L627" s="15">
        <f>'[5]Раздел №1'!$I$136</f>
        <v>159.9</v>
      </c>
      <c r="M627" s="24"/>
      <c r="N627" s="24">
        <f t="shared" si="22"/>
        <v>48.7</v>
      </c>
      <c r="O627" s="7" t="s">
        <v>498</v>
      </c>
    </row>
    <row r="628" spans="1:15" ht="12.75" customHeight="1" hidden="1" outlineLevel="2">
      <c r="A628" s="20"/>
      <c r="B628" s="21"/>
      <c r="C628" s="22" t="s">
        <v>371</v>
      </c>
      <c r="D628" s="13" t="s">
        <v>100</v>
      </c>
      <c r="E628" s="16">
        <f>0.0016*1000/100</f>
        <v>0.016</v>
      </c>
      <c r="F628" s="17">
        <f>100020.43/1000*1.18*1.096*1.25*1.074*1.118*1.091*1.078*1.077*1.08</f>
        <v>265.6</v>
      </c>
      <c r="G628" s="13"/>
      <c r="H628" s="13" t="s">
        <v>378</v>
      </c>
      <c r="I628" s="17"/>
      <c r="J628" s="13"/>
      <c r="K628" s="15"/>
      <c r="L628" s="15">
        <f>'[5]Раздел №1'!$I$136</f>
        <v>159.9</v>
      </c>
      <c r="M628" s="24"/>
      <c r="N628" s="24">
        <f t="shared" si="22"/>
        <v>4.2</v>
      </c>
      <c r="O628" s="7" t="s">
        <v>469</v>
      </c>
    </row>
    <row r="629" spans="1:15" ht="12.75" customHeight="1" hidden="1" outlineLevel="2">
      <c r="A629" s="20"/>
      <c r="B629" s="21"/>
      <c r="C629" s="22" t="s">
        <v>372</v>
      </c>
      <c r="D629" s="13" t="s">
        <v>230</v>
      </c>
      <c r="E629" s="16">
        <f>0.0044/100</f>
        <v>0</v>
      </c>
      <c r="F629" s="17">
        <f>256.95*1.096*1.25*1.18*1.074*1.118*1.091*1.078*1.077*1.08</f>
        <v>682.31</v>
      </c>
      <c r="G629" s="20"/>
      <c r="H629" s="13" t="s">
        <v>378</v>
      </c>
      <c r="I629" s="17"/>
      <c r="J629" s="13"/>
      <c r="K629" s="13"/>
      <c r="L629" s="15">
        <f>'[5]Раздел №1'!$I$136</f>
        <v>159.9</v>
      </c>
      <c r="M629" s="20"/>
      <c r="N629" s="24">
        <f t="shared" si="22"/>
        <v>0</v>
      </c>
      <c r="O629" s="7" t="s">
        <v>522</v>
      </c>
    </row>
    <row r="630" spans="1:15" ht="12.75" customHeight="1" hidden="1" outlineLevel="2">
      <c r="A630" s="20"/>
      <c r="B630" s="21"/>
      <c r="C630" s="22" t="s">
        <v>98</v>
      </c>
      <c r="D630" s="13" t="s">
        <v>33</v>
      </c>
      <c r="E630" s="16">
        <f>0.21/100</f>
        <v>0.002</v>
      </c>
      <c r="F630" s="17">
        <f>27.58*1.18*1.096*1.25*1.074*1.118*1.091*1.078*1.077*1.08</f>
        <v>73.24</v>
      </c>
      <c r="G630" s="20"/>
      <c r="H630" s="13" t="s">
        <v>378</v>
      </c>
      <c r="I630" s="17"/>
      <c r="J630" s="13"/>
      <c r="K630" s="13"/>
      <c r="L630" s="15">
        <f>'[5]Раздел №1'!$I$136</f>
        <v>159.9</v>
      </c>
      <c r="M630" s="20"/>
      <c r="N630" s="24">
        <f t="shared" si="22"/>
        <v>0.1</v>
      </c>
      <c r="O630" s="7" t="s">
        <v>443</v>
      </c>
    </row>
    <row r="631" spans="1:14" ht="12.75" customHeight="1" outlineLevel="1" collapsed="1">
      <c r="A631" s="20"/>
      <c r="B631" s="21" t="s">
        <v>377</v>
      </c>
      <c r="C631" s="22"/>
      <c r="D631" s="13"/>
      <c r="E631" s="16"/>
      <c r="F631" s="32"/>
      <c r="G631" s="13" t="s">
        <v>93</v>
      </c>
      <c r="H631" s="13" t="s">
        <v>376</v>
      </c>
      <c r="I631" s="17">
        <f>79.57/100</f>
        <v>0.8</v>
      </c>
      <c r="J631" s="15">
        <v>1.2</v>
      </c>
      <c r="K631" s="17">
        <f>I631*J631</f>
        <v>0.96</v>
      </c>
      <c r="L631" s="15">
        <f>'[5]Раздел №1'!$I$61</f>
        <v>379.7</v>
      </c>
      <c r="M631" s="24">
        <f>K631*L631</f>
        <v>364.5</v>
      </c>
      <c r="N631" s="24">
        <f>SUM(N632:N637)</f>
        <v>87.8</v>
      </c>
    </row>
    <row r="632" spans="1:15" ht="12.75" customHeight="1" hidden="1" outlineLevel="2">
      <c r="A632" s="20"/>
      <c r="B632" s="21"/>
      <c r="C632" s="22" t="s">
        <v>56</v>
      </c>
      <c r="D632" s="13" t="s">
        <v>33</v>
      </c>
      <c r="E632" s="16">
        <f>0.0176*1000/100</f>
        <v>0.176</v>
      </c>
      <c r="F632" s="17">
        <f>49207.49/1110*1.18*1.096*1.25*1.074*1.118*1.091*1.078*1.077*1.08</f>
        <v>117.72</v>
      </c>
      <c r="G632" s="13"/>
      <c r="H632" s="13" t="s">
        <v>376</v>
      </c>
      <c r="I632" s="17"/>
      <c r="J632" s="13"/>
      <c r="K632" s="15"/>
      <c r="L632" s="15">
        <f>'[5]Раздел №1'!$I$136</f>
        <v>159.9</v>
      </c>
      <c r="M632" s="24"/>
      <c r="N632" s="24">
        <f aca="true" t="shared" si="23" ref="N632:N637">E632*F632</f>
        <v>20.7</v>
      </c>
      <c r="O632" s="7" t="s">
        <v>448</v>
      </c>
    </row>
    <row r="633" spans="1:15" ht="12.75" customHeight="1" hidden="1" outlineLevel="2">
      <c r="A633" s="20"/>
      <c r="B633" s="21"/>
      <c r="C633" s="22" t="s">
        <v>58</v>
      </c>
      <c r="D633" s="13" t="s">
        <v>33</v>
      </c>
      <c r="E633" s="16">
        <f>0.01*1000/100</f>
        <v>0.1</v>
      </c>
      <c r="F633" s="17">
        <f>74.29/1.2*1.096*1.25*1.18*1.074*1.118*1.091*1.078*1.077*1.08</f>
        <v>164.39</v>
      </c>
      <c r="G633" s="13"/>
      <c r="H633" s="13" t="s">
        <v>376</v>
      </c>
      <c r="I633" s="17"/>
      <c r="J633" s="13"/>
      <c r="K633" s="15"/>
      <c r="L633" s="15">
        <f>'[5]Раздел №1'!$I$136</f>
        <v>159.9</v>
      </c>
      <c r="M633" s="24"/>
      <c r="N633" s="24">
        <f t="shared" si="23"/>
        <v>16.4</v>
      </c>
      <c r="O633" s="7" t="s">
        <v>442</v>
      </c>
    </row>
    <row r="634" spans="1:15" ht="12.75" customHeight="1" hidden="1" outlineLevel="2">
      <c r="A634" s="20"/>
      <c r="B634" s="21"/>
      <c r="C634" s="65" t="s">
        <v>370</v>
      </c>
      <c r="D634" s="13" t="s">
        <v>33</v>
      </c>
      <c r="E634" s="16">
        <f>0.0472*1000/100</f>
        <v>0.472</v>
      </c>
      <c r="F634" s="17">
        <f>46696.75/1260*1.096*1.25*1.18*1.074*1.118*1.091*1.078*1.077*1.08</f>
        <v>98.41</v>
      </c>
      <c r="G634" s="13"/>
      <c r="H634" s="13" t="s">
        <v>376</v>
      </c>
      <c r="I634" s="17"/>
      <c r="J634" s="13"/>
      <c r="K634" s="15"/>
      <c r="L634" s="15">
        <f>'[5]Раздел №1'!$I$136</f>
        <v>159.9</v>
      </c>
      <c r="M634" s="24"/>
      <c r="N634" s="24">
        <f t="shared" si="23"/>
        <v>46.4</v>
      </c>
      <c r="O634" s="7" t="s">
        <v>498</v>
      </c>
    </row>
    <row r="635" spans="1:15" ht="12.75" customHeight="1" hidden="1" outlineLevel="2">
      <c r="A635" s="20"/>
      <c r="B635" s="21"/>
      <c r="C635" s="22" t="s">
        <v>371</v>
      </c>
      <c r="D635" s="13" t="s">
        <v>100</v>
      </c>
      <c r="E635" s="16">
        <f>0.0016*1000/100</f>
        <v>0.016</v>
      </c>
      <c r="F635" s="17">
        <f>100020.43/1000*1.18*1.096*1.25*1.074*1.118*1.091*1.078*1.077*1.08</f>
        <v>265.6</v>
      </c>
      <c r="G635" s="13"/>
      <c r="H635" s="13" t="s">
        <v>376</v>
      </c>
      <c r="I635" s="17"/>
      <c r="J635" s="13"/>
      <c r="K635" s="15"/>
      <c r="L635" s="15">
        <f>'[5]Раздел №1'!$I$136</f>
        <v>159.9</v>
      </c>
      <c r="M635" s="24"/>
      <c r="N635" s="24">
        <f t="shared" si="23"/>
        <v>4.2</v>
      </c>
      <c r="O635" s="7" t="s">
        <v>469</v>
      </c>
    </row>
    <row r="636" spans="1:15" ht="12.75" customHeight="1" hidden="1" outlineLevel="2">
      <c r="A636" s="20"/>
      <c r="B636" s="21"/>
      <c r="C636" s="22" t="s">
        <v>372</v>
      </c>
      <c r="D636" s="13" t="s">
        <v>230</v>
      </c>
      <c r="E636" s="16">
        <f>0.0044/100</f>
        <v>0</v>
      </c>
      <c r="F636" s="17">
        <f>256.95*1.096*1.25*1.18*1.074*1.118*1.091*1.078*1.077*1.08</f>
        <v>682.31</v>
      </c>
      <c r="G636" s="20"/>
      <c r="H636" s="13" t="s">
        <v>376</v>
      </c>
      <c r="I636" s="17"/>
      <c r="J636" s="13"/>
      <c r="K636" s="13"/>
      <c r="L636" s="15">
        <f>'[5]Раздел №1'!$I$136</f>
        <v>159.9</v>
      </c>
      <c r="M636" s="20"/>
      <c r="N636" s="24">
        <f t="shared" si="23"/>
        <v>0</v>
      </c>
      <c r="O636" s="7" t="s">
        <v>522</v>
      </c>
    </row>
    <row r="637" spans="1:15" ht="12.75" customHeight="1" hidden="1" outlineLevel="2">
      <c r="A637" s="20"/>
      <c r="B637" s="21"/>
      <c r="C637" s="22" t="s">
        <v>98</v>
      </c>
      <c r="D637" s="13" t="s">
        <v>33</v>
      </c>
      <c r="E637" s="16">
        <f>0.21/100</f>
        <v>0.002</v>
      </c>
      <c r="F637" s="17">
        <f>27.58*1.18*1.096*1.25*1.074*1.118*1.091*1.078*1.077*1.08</f>
        <v>73.24</v>
      </c>
      <c r="G637" s="20"/>
      <c r="H637" s="13" t="s">
        <v>376</v>
      </c>
      <c r="I637" s="17"/>
      <c r="J637" s="13"/>
      <c r="K637" s="13"/>
      <c r="L637" s="15">
        <f>'[5]Раздел №1'!$I$136</f>
        <v>159.9</v>
      </c>
      <c r="M637" s="20"/>
      <c r="N637" s="24">
        <f t="shared" si="23"/>
        <v>0.1</v>
      </c>
      <c r="O637" s="7" t="s">
        <v>443</v>
      </c>
    </row>
    <row r="638" spans="1:14" ht="12.75" customHeight="1" outlineLevel="1" collapsed="1">
      <c r="A638" s="20"/>
      <c r="B638" s="21" t="s">
        <v>379</v>
      </c>
      <c r="C638" s="22"/>
      <c r="D638" s="13"/>
      <c r="E638" s="16"/>
      <c r="F638" s="32"/>
      <c r="G638" s="13" t="s">
        <v>93</v>
      </c>
      <c r="H638" s="13" t="s">
        <v>380</v>
      </c>
      <c r="I638" s="17">
        <f>55.52/100</f>
        <v>0.56</v>
      </c>
      <c r="J638" s="15">
        <v>1.2</v>
      </c>
      <c r="K638" s="17">
        <f>I638*J638</f>
        <v>0.67</v>
      </c>
      <c r="L638" s="15">
        <f>'[5]Раздел №1'!$I$61</f>
        <v>379.7</v>
      </c>
      <c r="M638" s="24">
        <f>K638*L638</f>
        <v>254.4</v>
      </c>
      <c r="N638" s="24">
        <f>SUM(N639:N644)</f>
        <v>90.3</v>
      </c>
    </row>
    <row r="639" spans="1:15" ht="12.75" customHeight="1" hidden="1" outlineLevel="2">
      <c r="A639" s="20"/>
      <c r="B639" s="21"/>
      <c r="C639" s="22" t="s">
        <v>56</v>
      </c>
      <c r="D639" s="13" t="s">
        <v>33</v>
      </c>
      <c r="E639" s="16">
        <f>0.0179*1000/100</f>
        <v>0.179</v>
      </c>
      <c r="F639" s="17">
        <f>49207.49/1110*1.18*1.096*1.25*1.074*1.118*1.091*1.078*1.077*1.08</f>
        <v>117.72</v>
      </c>
      <c r="G639" s="13"/>
      <c r="H639" s="13" t="s">
        <v>380</v>
      </c>
      <c r="I639" s="17"/>
      <c r="J639" s="13"/>
      <c r="K639" s="15"/>
      <c r="L639" s="15">
        <f>'[5]Раздел №1'!$I$136</f>
        <v>159.9</v>
      </c>
      <c r="M639" s="24"/>
      <c r="N639" s="24">
        <f aca="true" t="shared" si="24" ref="N639:N644">E639*F639</f>
        <v>21.1</v>
      </c>
      <c r="O639" s="7" t="s">
        <v>448</v>
      </c>
    </row>
    <row r="640" spans="1:15" ht="12.75" customHeight="1" hidden="1" outlineLevel="2">
      <c r="A640" s="20"/>
      <c r="B640" s="21"/>
      <c r="C640" s="22" t="s">
        <v>58</v>
      </c>
      <c r="D640" s="13" t="s">
        <v>33</v>
      </c>
      <c r="E640" s="16">
        <f>0.0136*1000/100</f>
        <v>0.136</v>
      </c>
      <c r="F640" s="17">
        <f>74.29/1.2*1.096*1.25*1.18*1.074*1.118*1.091*1.078*1.077*1.08</f>
        <v>164.39</v>
      </c>
      <c r="G640" s="13"/>
      <c r="H640" s="13" t="s">
        <v>380</v>
      </c>
      <c r="I640" s="17"/>
      <c r="J640" s="13"/>
      <c r="K640" s="15"/>
      <c r="L640" s="15">
        <f>'[5]Раздел №1'!$I$136</f>
        <v>159.9</v>
      </c>
      <c r="M640" s="24"/>
      <c r="N640" s="24">
        <f t="shared" si="24"/>
        <v>22.4</v>
      </c>
      <c r="O640" s="7" t="s">
        <v>442</v>
      </c>
    </row>
    <row r="641" spans="1:15" ht="12.75" customHeight="1" hidden="1" outlineLevel="2">
      <c r="A641" s="20"/>
      <c r="B641" s="21"/>
      <c r="C641" s="65" t="s">
        <v>370</v>
      </c>
      <c r="D641" s="13" t="s">
        <v>33</v>
      </c>
      <c r="E641" s="16">
        <f>0.0432*1000/100</f>
        <v>0.432</v>
      </c>
      <c r="F641" s="17">
        <f>46696.75/1260*1.096*1.25*1.18*1.074*1.118*1.091*1.078*1.077*1.08</f>
        <v>98.41</v>
      </c>
      <c r="G641" s="13"/>
      <c r="H641" s="13" t="s">
        <v>380</v>
      </c>
      <c r="I641" s="17"/>
      <c r="J641" s="13"/>
      <c r="K641" s="15"/>
      <c r="L641" s="15">
        <f>'[5]Раздел №1'!$I$136</f>
        <v>159.9</v>
      </c>
      <c r="M641" s="24"/>
      <c r="N641" s="24">
        <f t="shared" si="24"/>
        <v>42.5</v>
      </c>
      <c r="O641" s="7" t="s">
        <v>498</v>
      </c>
    </row>
    <row r="642" spans="1:15" ht="12.75" customHeight="1" hidden="1" outlineLevel="2">
      <c r="A642" s="20"/>
      <c r="B642" s="21"/>
      <c r="C642" s="22" t="s">
        <v>371</v>
      </c>
      <c r="D642" s="13" t="s">
        <v>100</v>
      </c>
      <c r="E642" s="16">
        <f>0.0016*1000/100</f>
        <v>0.016</v>
      </c>
      <c r="F642" s="17">
        <f>100020.43/1000*1.18*1.096*1.25*1.074*1.118*1.091*1.078*1.077*1.08</f>
        <v>265.6</v>
      </c>
      <c r="G642" s="13"/>
      <c r="H642" s="13" t="s">
        <v>380</v>
      </c>
      <c r="I642" s="17"/>
      <c r="J642" s="13"/>
      <c r="K642" s="15"/>
      <c r="L642" s="15">
        <f>'[5]Раздел №1'!$I$136</f>
        <v>159.9</v>
      </c>
      <c r="M642" s="24"/>
      <c r="N642" s="24">
        <f t="shared" si="24"/>
        <v>4.2</v>
      </c>
      <c r="O642" s="7" t="s">
        <v>469</v>
      </c>
    </row>
    <row r="643" spans="1:15" ht="12.75" customHeight="1" hidden="1" outlineLevel="2">
      <c r="A643" s="20"/>
      <c r="B643" s="21"/>
      <c r="C643" s="22" t="s">
        <v>372</v>
      </c>
      <c r="D643" s="13" t="s">
        <v>230</v>
      </c>
      <c r="E643" s="16">
        <f>0.0024/100</f>
        <v>0</v>
      </c>
      <c r="F643" s="17">
        <f>256.95*1.096*1.25*1.18*1.074*1.118*1.091*1.078*1.077*1.08</f>
        <v>682.31</v>
      </c>
      <c r="G643" s="20"/>
      <c r="H643" s="13" t="s">
        <v>380</v>
      </c>
      <c r="I643" s="17"/>
      <c r="J643" s="13"/>
      <c r="K643" s="13"/>
      <c r="L643" s="15">
        <f>'[5]Раздел №1'!$I$136</f>
        <v>159.9</v>
      </c>
      <c r="M643" s="20"/>
      <c r="N643" s="24">
        <f t="shared" si="24"/>
        <v>0</v>
      </c>
      <c r="O643" s="7" t="s">
        <v>522</v>
      </c>
    </row>
    <row r="644" spans="1:15" ht="12.75" customHeight="1" hidden="1" outlineLevel="2">
      <c r="A644" s="20"/>
      <c r="B644" s="21"/>
      <c r="C644" s="22" t="s">
        <v>98</v>
      </c>
      <c r="D644" s="13" t="s">
        <v>33</v>
      </c>
      <c r="E644" s="16">
        <f>0.18/100</f>
        <v>0.002</v>
      </c>
      <c r="F644" s="17">
        <f>27.58*1.18*1.096*1.25*1.074*1.118*1.091*1.078*1.077*1.08</f>
        <v>73.24</v>
      </c>
      <c r="G644" s="20"/>
      <c r="H644" s="13" t="s">
        <v>380</v>
      </c>
      <c r="I644" s="17"/>
      <c r="J644" s="13"/>
      <c r="K644" s="13"/>
      <c r="L644" s="15">
        <f>'[5]Раздел №1'!$I$136</f>
        <v>159.9</v>
      </c>
      <c r="M644" s="20"/>
      <c r="N644" s="24">
        <f t="shared" si="24"/>
        <v>0.1</v>
      </c>
      <c r="O644" s="7" t="s">
        <v>443</v>
      </c>
    </row>
    <row r="645" spans="1:14" ht="12.75" customHeight="1" outlineLevel="1" collapsed="1">
      <c r="A645" s="20" t="s">
        <v>747</v>
      </c>
      <c r="B645" s="21" t="s">
        <v>381</v>
      </c>
      <c r="C645" s="22"/>
      <c r="D645" s="13"/>
      <c r="E645" s="16"/>
      <c r="F645" s="32"/>
      <c r="G645" s="20"/>
      <c r="H645" s="13"/>
      <c r="I645" s="17"/>
      <c r="J645" s="13"/>
      <c r="K645" s="13"/>
      <c r="L645" s="15">
        <f>'[5]Раздел №1'!$I$61</f>
        <v>379.7</v>
      </c>
      <c r="M645" s="20"/>
      <c r="N645" s="24"/>
    </row>
    <row r="646" spans="1:14" ht="12.75" customHeight="1" outlineLevel="1">
      <c r="A646" s="20"/>
      <c r="B646" s="21" t="s">
        <v>382</v>
      </c>
      <c r="C646" s="22"/>
      <c r="D646" s="13"/>
      <c r="E646" s="16"/>
      <c r="F646" s="32"/>
      <c r="G646" s="13" t="s">
        <v>93</v>
      </c>
      <c r="H646" s="13" t="s">
        <v>383</v>
      </c>
      <c r="I646" s="17">
        <f>80.6/100</f>
        <v>0.81</v>
      </c>
      <c r="J646" s="15">
        <v>1.2</v>
      </c>
      <c r="K646" s="17">
        <f>I646*J646</f>
        <v>0.97</v>
      </c>
      <c r="L646" s="15">
        <f>'[5]Раздел №1'!$I$61</f>
        <v>379.7</v>
      </c>
      <c r="M646" s="24">
        <f>K646*L646</f>
        <v>368.3</v>
      </c>
      <c r="N646" s="24">
        <f>SUM(N647:N649)</f>
        <v>33.9</v>
      </c>
    </row>
    <row r="647" spans="1:15" ht="12.75" customHeight="1" hidden="1" outlineLevel="2">
      <c r="A647" s="20"/>
      <c r="B647" s="21"/>
      <c r="C647" s="22" t="s">
        <v>56</v>
      </c>
      <c r="D647" s="13" t="s">
        <v>33</v>
      </c>
      <c r="E647" s="16">
        <f>0.0161*1000/100</f>
        <v>0.161</v>
      </c>
      <c r="F647" s="17">
        <f>49207.49/1110*1.18*1.096*1.25*1.074*1.118*1.091*1.078*1.077*1.08</f>
        <v>117.72</v>
      </c>
      <c r="G647" s="13"/>
      <c r="H647" s="13" t="s">
        <v>383</v>
      </c>
      <c r="I647" s="17"/>
      <c r="J647" s="13"/>
      <c r="K647" s="15"/>
      <c r="L647" s="15">
        <f>'[5]Раздел №1'!$I$136</f>
        <v>159.9</v>
      </c>
      <c r="M647" s="24"/>
      <c r="N647" s="24">
        <f>E647*F647</f>
        <v>19</v>
      </c>
      <c r="O647" s="7" t="s">
        <v>448</v>
      </c>
    </row>
    <row r="648" spans="1:15" ht="12.75" customHeight="1" hidden="1" outlineLevel="2">
      <c r="A648" s="20"/>
      <c r="B648" s="21"/>
      <c r="C648" s="22" t="s">
        <v>58</v>
      </c>
      <c r="D648" s="13" t="s">
        <v>33</v>
      </c>
      <c r="E648" s="16">
        <f>0.009*1000/100</f>
        <v>0.09</v>
      </c>
      <c r="F648" s="17">
        <f>74.29/1.2*1.096*1.25*1.18*1.074*1.118*1.091*1.078*1.077*1.08</f>
        <v>164.39</v>
      </c>
      <c r="G648" s="13"/>
      <c r="H648" s="13" t="s">
        <v>383</v>
      </c>
      <c r="I648" s="17"/>
      <c r="J648" s="13"/>
      <c r="K648" s="15"/>
      <c r="L648" s="15">
        <f>'[5]Раздел №1'!$I$136</f>
        <v>159.9</v>
      </c>
      <c r="M648" s="24"/>
      <c r="N648" s="24">
        <f>E648*F648</f>
        <v>14.8</v>
      </c>
      <c r="O648" s="7" t="s">
        <v>442</v>
      </c>
    </row>
    <row r="649" spans="1:15" ht="12.75" customHeight="1" hidden="1" outlineLevel="2">
      <c r="A649" s="20"/>
      <c r="B649" s="21"/>
      <c r="C649" s="22" t="s">
        <v>98</v>
      </c>
      <c r="D649" s="13" t="s">
        <v>33</v>
      </c>
      <c r="E649" s="16">
        <f>0.1/100</f>
        <v>0.001</v>
      </c>
      <c r="F649" s="17">
        <f>27.58*1.18*1.096*1.25*1.074*1.118*1.091*1.078*1.077*1.08</f>
        <v>73.24</v>
      </c>
      <c r="G649" s="13"/>
      <c r="H649" s="13" t="s">
        <v>383</v>
      </c>
      <c r="I649" s="17"/>
      <c r="J649" s="13"/>
      <c r="K649" s="15"/>
      <c r="L649" s="15">
        <f>'[5]Раздел №1'!$I$136</f>
        <v>159.9</v>
      </c>
      <c r="M649" s="24"/>
      <c r="N649" s="24">
        <f>E649*F649</f>
        <v>0.1</v>
      </c>
      <c r="O649" s="7" t="s">
        <v>443</v>
      </c>
    </row>
    <row r="650" spans="1:14" ht="12.75" customHeight="1" outlineLevel="1" collapsed="1">
      <c r="A650" s="20"/>
      <c r="B650" s="21" t="s">
        <v>384</v>
      </c>
      <c r="C650" s="22"/>
      <c r="D650" s="13"/>
      <c r="E650" s="16"/>
      <c r="F650" s="32"/>
      <c r="G650" s="13" t="s">
        <v>93</v>
      </c>
      <c r="H650" s="13" t="s">
        <v>385</v>
      </c>
      <c r="I650" s="17">
        <f>51.22/100</f>
        <v>0.51</v>
      </c>
      <c r="J650" s="15">
        <v>1.2</v>
      </c>
      <c r="K650" s="17">
        <f>I650*J650</f>
        <v>0.61</v>
      </c>
      <c r="L650" s="15">
        <f>'[5]Раздел №1'!$I$61</f>
        <v>379.7</v>
      </c>
      <c r="M650" s="24">
        <f>K650*L650</f>
        <v>231.6</v>
      </c>
      <c r="N650" s="24">
        <f>SUM(N651:N653)</f>
        <v>33.9</v>
      </c>
    </row>
    <row r="651" spans="1:15" ht="12.75" customHeight="1" hidden="1" outlineLevel="2">
      <c r="A651" s="20"/>
      <c r="B651" s="21"/>
      <c r="C651" s="22" t="s">
        <v>56</v>
      </c>
      <c r="D651" s="13" t="s">
        <v>33</v>
      </c>
      <c r="E651" s="16">
        <f>0.0161*1000/100</f>
        <v>0.161</v>
      </c>
      <c r="F651" s="17">
        <f>49207.49/1110*1.18*1.096*1.25*1.074*1.118*1.091*1.078*1.077*1.08</f>
        <v>117.72</v>
      </c>
      <c r="G651" s="13"/>
      <c r="H651" s="13" t="s">
        <v>385</v>
      </c>
      <c r="I651" s="17"/>
      <c r="J651" s="13"/>
      <c r="K651" s="15"/>
      <c r="L651" s="15">
        <f>'[5]Раздел №1'!$I$136</f>
        <v>159.9</v>
      </c>
      <c r="M651" s="24"/>
      <c r="N651" s="24">
        <f>E651*F651</f>
        <v>19</v>
      </c>
      <c r="O651" s="7" t="s">
        <v>448</v>
      </c>
    </row>
    <row r="652" spans="1:15" ht="12.75" customHeight="1" hidden="1" outlineLevel="2">
      <c r="A652" s="20"/>
      <c r="B652" s="21"/>
      <c r="C652" s="22" t="s">
        <v>58</v>
      </c>
      <c r="D652" s="13" t="s">
        <v>33</v>
      </c>
      <c r="E652" s="16">
        <f>0.009*1000/100</f>
        <v>0.09</v>
      </c>
      <c r="F652" s="17">
        <f>74.29/1.2*1.096*1.25*1.18*1.074*1.118*1.091*1.078*1.077*1.08</f>
        <v>164.39</v>
      </c>
      <c r="G652" s="13"/>
      <c r="H652" s="13" t="s">
        <v>385</v>
      </c>
      <c r="I652" s="17"/>
      <c r="J652" s="13"/>
      <c r="K652" s="15"/>
      <c r="L652" s="15">
        <f>'[5]Раздел №1'!$I$136</f>
        <v>159.9</v>
      </c>
      <c r="M652" s="24"/>
      <c r="N652" s="24">
        <f>E652*F652</f>
        <v>14.8</v>
      </c>
      <c r="O652" s="7" t="s">
        <v>442</v>
      </c>
    </row>
    <row r="653" spans="1:15" ht="12.75" customHeight="1" hidden="1" outlineLevel="2">
      <c r="A653" s="20"/>
      <c r="B653" s="21"/>
      <c r="C653" s="22" t="s">
        <v>98</v>
      </c>
      <c r="D653" s="13" t="s">
        <v>33</v>
      </c>
      <c r="E653" s="16">
        <f>0.1/100</f>
        <v>0.001</v>
      </c>
      <c r="F653" s="17">
        <f>27.58*1.18*1.096*1.25*1.074*1.118*1.091*1.078*1.077*1.08</f>
        <v>73.24</v>
      </c>
      <c r="G653" s="13"/>
      <c r="H653" s="13" t="s">
        <v>385</v>
      </c>
      <c r="I653" s="17"/>
      <c r="J653" s="13"/>
      <c r="K653" s="15"/>
      <c r="L653" s="15">
        <f>'[5]Раздел №1'!$I$136</f>
        <v>159.9</v>
      </c>
      <c r="M653" s="24"/>
      <c r="N653" s="24">
        <f>E653*F653</f>
        <v>0.1</v>
      </c>
      <c r="O653" s="7" t="s">
        <v>443</v>
      </c>
    </row>
    <row r="654" spans="1:14" ht="12.75" customHeight="1" outlineLevel="1" collapsed="1">
      <c r="A654" s="20" t="s">
        <v>748</v>
      </c>
      <c r="B654" s="21" t="s">
        <v>386</v>
      </c>
      <c r="C654" s="22"/>
      <c r="D654" s="13"/>
      <c r="E654" s="16"/>
      <c r="F654" s="32"/>
      <c r="G654" s="13" t="s">
        <v>93</v>
      </c>
      <c r="H654" s="13" t="s">
        <v>387</v>
      </c>
      <c r="I654" s="17">
        <f>65.94/100</f>
        <v>0.66</v>
      </c>
      <c r="J654" s="15">
        <v>1.2</v>
      </c>
      <c r="K654" s="17">
        <f>I654*J654</f>
        <v>0.79</v>
      </c>
      <c r="L654" s="15">
        <f>'[5]Раздел №1'!$I$61</f>
        <v>379.7</v>
      </c>
      <c r="M654" s="24">
        <f>K654*L654</f>
        <v>300</v>
      </c>
      <c r="N654" s="24">
        <f>SUM(N655:N657)</f>
        <v>33.9</v>
      </c>
    </row>
    <row r="655" spans="1:15" ht="12.75" customHeight="1" hidden="1" outlineLevel="2">
      <c r="A655" s="20"/>
      <c r="B655" s="21"/>
      <c r="C655" s="22" t="s">
        <v>56</v>
      </c>
      <c r="D655" s="13" t="s">
        <v>33</v>
      </c>
      <c r="E655" s="16">
        <f>0.0161*1000/100</f>
        <v>0.161</v>
      </c>
      <c r="F655" s="17">
        <f>49207.49/1110*1.18*1.096*1.25*1.074*1.118*1.091*1.078*1.077*1.08</f>
        <v>117.72</v>
      </c>
      <c r="G655" s="13"/>
      <c r="H655" s="13" t="s">
        <v>387</v>
      </c>
      <c r="I655" s="17"/>
      <c r="J655" s="13"/>
      <c r="K655" s="15"/>
      <c r="L655" s="15">
        <f>'[5]Раздел №1'!$I$136</f>
        <v>159.9</v>
      </c>
      <c r="M655" s="24"/>
      <c r="N655" s="24">
        <f>E655*F655</f>
        <v>19</v>
      </c>
      <c r="O655" s="7" t="s">
        <v>448</v>
      </c>
    </row>
    <row r="656" spans="1:15" ht="12.75" customHeight="1" hidden="1" outlineLevel="2">
      <c r="A656" s="20"/>
      <c r="B656" s="21"/>
      <c r="C656" s="22" t="s">
        <v>58</v>
      </c>
      <c r="D656" s="13" t="s">
        <v>33</v>
      </c>
      <c r="E656" s="16">
        <f>0.009*1000/100</f>
        <v>0.09</v>
      </c>
      <c r="F656" s="17">
        <f>74.29/1.2*1.096*1.25*1.18*1.074*1.118*1.091*1.078*1.077*1.08</f>
        <v>164.39</v>
      </c>
      <c r="G656" s="13"/>
      <c r="H656" s="13" t="s">
        <v>387</v>
      </c>
      <c r="I656" s="17"/>
      <c r="J656" s="13"/>
      <c r="K656" s="15"/>
      <c r="L656" s="15">
        <f>'[5]Раздел №1'!$I$136</f>
        <v>159.9</v>
      </c>
      <c r="M656" s="24"/>
      <c r="N656" s="24">
        <f>E656*F656</f>
        <v>14.8</v>
      </c>
      <c r="O656" s="7" t="s">
        <v>442</v>
      </c>
    </row>
    <row r="657" spans="1:15" ht="12.75" customHeight="1" hidden="1" outlineLevel="2">
      <c r="A657" s="20"/>
      <c r="B657" s="21"/>
      <c r="C657" s="22" t="s">
        <v>98</v>
      </c>
      <c r="D657" s="13" t="s">
        <v>33</v>
      </c>
      <c r="E657" s="16">
        <f>0.1/100</f>
        <v>0.001</v>
      </c>
      <c r="F657" s="17">
        <f>27.58*1.18*1.096*1.25*1.074*1.118*1.091*1.078*1.077*1.08</f>
        <v>73.24</v>
      </c>
      <c r="G657" s="13"/>
      <c r="H657" s="13" t="s">
        <v>387</v>
      </c>
      <c r="I657" s="17"/>
      <c r="J657" s="13"/>
      <c r="K657" s="15"/>
      <c r="L657" s="15">
        <f>'[5]Раздел №1'!$I$136</f>
        <v>159.9</v>
      </c>
      <c r="M657" s="24"/>
      <c r="N657" s="24">
        <f>E657*F657</f>
        <v>0.1</v>
      </c>
      <c r="O657" s="7" t="s">
        <v>443</v>
      </c>
    </row>
    <row r="658" spans="1:14" ht="12.75" customHeight="1" outlineLevel="1" collapsed="1">
      <c r="A658" s="20" t="s">
        <v>749</v>
      </c>
      <c r="B658" s="21" t="s">
        <v>14</v>
      </c>
      <c r="C658" s="22"/>
      <c r="D658" s="13"/>
      <c r="E658" s="16"/>
      <c r="F658" s="32"/>
      <c r="G658" s="13" t="s">
        <v>93</v>
      </c>
      <c r="H658" s="13" t="s">
        <v>388</v>
      </c>
      <c r="I658" s="17">
        <f>53.12/100</f>
        <v>0.53</v>
      </c>
      <c r="J658" s="15">
        <v>1.2</v>
      </c>
      <c r="K658" s="17">
        <f>I658*J658</f>
        <v>0.64</v>
      </c>
      <c r="L658" s="15">
        <f>'[5]Раздел №1'!$I$61</f>
        <v>379.7</v>
      </c>
      <c r="M658" s="24">
        <f>K658*L658</f>
        <v>243</v>
      </c>
      <c r="N658" s="24">
        <f>SUM(N659:N662)</f>
        <v>90.9</v>
      </c>
    </row>
    <row r="659" spans="1:15" ht="12.75" customHeight="1" hidden="1" outlineLevel="2">
      <c r="A659" s="20"/>
      <c r="B659" s="21"/>
      <c r="C659" s="22" t="s">
        <v>56</v>
      </c>
      <c r="D659" s="13" t="s">
        <v>33</v>
      </c>
      <c r="E659" s="16">
        <f>0.0141*1000/100</f>
        <v>0.141</v>
      </c>
      <c r="F659" s="17">
        <f>49207.49/1110*1.18*1.096*1.25*1.074*1.118*1.091*1.078*1.077*1.08</f>
        <v>117.72</v>
      </c>
      <c r="G659" s="13"/>
      <c r="H659" s="13" t="s">
        <v>388</v>
      </c>
      <c r="I659" s="17"/>
      <c r="J659" s="13"/>
      <c r="K659" s="15"/>
      <c r="L659" s="15">
        <f>'[5]Раздел №1'!$I$136</f>
        <v>159.9</v>
      </c>
      <c r="M659" s="24"/>
      <c r="N659" s="24">
        <f>E659*F659</f>
        <v>16.6</v>
      </c>
      <c r="O659" s="7" t="s">
        <v>448</v>
      </c>
    </row>
    <row r="660" spans="1:15" ht="12.75" customHeight="1" hidden="1" outlineLevel="2">
      <c r="A660" s="20"/>
      <c r="B660" s="21"/>
      <c r="C660" s="22" t="s">
        <v>58</v>
      </c>
      <c r="D660" s="13" t="s">
        <v>33</v>
      </c>
      <c r="E660" s="16">
        <f>0.0155*1000/100</f>
        <v>0.155</v>
      </c>
      <c r="F660" s="17">
        <f>74.29/1.2*1.096*1.25*1.18*1.074*1.118*1.091*1.078*1.077*1.08</f>
        <v>164.39</v>
      </c>
      <c r="G660" s="13"/>
      <c r="H660" s="13" t="s">
        <v>388</v>
      </c>
      <c r="I660" s="17"/>
      <c r="J660" s="13"/>
      <c r="K660" s="15"/>
      <c r="L660" s="15">
        <f>'[5]Раздел №1'!$I$136</f>
        <v>159.9</v>
      </c>
      <c r="M660" s="24"/>
      <c r="N660" s="24">
        <f>E660*F660</f>
        <v>25.5</v>
      </c>
      <c r="O660" s="7" t="s">
        <v>442</v>
      </c>
    </row>
    <row r="661" spans="1:15" ht="12.75" customHeight="1" hidden="1" outlineLevel="2">
      <c r="A661" s="20"/>
      <c r="B661" s="21"/>
      <c r="C661" s="65" t="s">
        <v>370</v>
      </c>
      <c r="D661" s="13" t="s">
        <v>33</v>
      </c>
      <c r="E661" s="16">
        <f>0.0495*1000/100</f>
        <v>0.495</v>
      </c>
      <c r="F661" s="17">
        <f>46696.75/1260*1.096*1.25*1.18*1.074*1.118*1.091*1.078*1.077*1.08</f>
        <v>98.41</v>
      </c>
      <c r="G661" s="13"/>
      <c r="H661" s="13" t="s">
        <v>388</v>
      </c>
      <c r="I661" s="17"/>
      <c r="J661" s="13"/>
      <c r="K661" s="15"/>
      <c r="L661" s="15">
        <f>'[5]Раздел №1'!$I$136</f>
        <v>159.9</v>
      </c>
      <c r="M661" s="24"/>
      <c r="N661" s="24">
        <f>E661*F661</f>
        <v>48.7</v>
      </c>
      <c r="O661" s="7" t="s">
        <v>498</v>
      </c>
    </row>
    <row r="662" spans="1:15" ht="12.75" customHeight="1" hidden="1" outlineLevel="2">
      <c r="A662" s="20"/>
      <c r="B662" s="21"/>
      <c r="C662" s="22" t="s">
        <v>98</v>
      </c>
      <c r="D662" s="13" t="s">
        <v>33</v>
      </c>
      <c r="E662" s="16">
        <f>0.1/100</f>
        <v>0.001</v>
      </c>
      <c r="F662" s="17">
        <f>27.58*1.18*1.096*1.25*1.074*1.118*1.091*1.078*1.077*1.08</f>
        <v>73.24</v>
      </c>
      <c r="G662" s="20"/>
      <c r="H662" s="13" t="s">
        <v>388</v>
      </c>
      <c r="I662" s="17"/>
      <c r="J662" s="13"/>
      <c r="K662" s="13"/>
      <c r="L662" s="15">
        <f>'[5]Раздел №1'!$I$136</f>
        <v>159.9</v>
      </c>
      <c r="M662" s="20"/>
      <c r="N662" s="24">
        <f>E662*F662</f>
        <v>0.1</v>
      </c>
      <c r="O662" s="7" t="s">
        <v>443</v>
      </c>
    </row>
    <row r="663" spans="1:14" ht="12.75" customHeight="1" outlineLevel="1" collapsed="1">
      <c r="A663" s="20" t="s">
        <v>750</v>
      </c>
      <c r="B663" s="21" t="s">
        <v>15</v>
      </c>
      <c r="C663" s="22"/>
      <c r="D663" s="13"/>
      <c r="E663" s="16"/>
      <c r="F663" s="32"/>
      <c r="G663" s="13" t="s">
        <v>93</v>
      </c>
      <c r="H663" s="13" t="s">
        <v>393</v>
      </c>
      <c r="I663" s="17">
        <f>54.73/100</f>
        <v>0.55</v>
      </c>
      <c r="J663" s="15">
        <v>1.2</v>
      </c>
      <c r="K663" s="17">
        <f>I663*J663</f>
        <v>0.66</v>
      </c>
      <c r="L663" s="15">
        <f>'[5]Раздел №1'!$I$61</f>
        <v>379.7</v>
      </c>
      <c r="M663" s="24">
        <f>K663*L663</f>
        <v>250.6</v>
      </c>
      <c r="N663" s="24">
        <f>SUM(N664:N668)</f>
        <v>14.9</v>
      </c>
    </row>
    <row r="664" spans="1:15" ht="12.75" customHeight="1" hidden="1" outlineLevel="2">
      <c r="A664" s="20"/>
      <c r="B664" s="21"/>
      <c r="C664" s="22" t="s">
        <v>389</v>
      </c>
      <c r="D664" s="13" t="s">
        <v>100</v>
      </c>
      <c r="E664" s="16">
        <v>1.12</v>
      </c>
      <c r="F664" s="17"/>
      <c r="G664" s="13"/>
      <c r="H664" s="13" t="s">
        <v>393</v>
      </c>
      <c r="I664" s="17"/>
      <c r="J664" s="13"/>
      <c r="K664" s="15"/>
      <c r="L664" s="15">
        <f>'[5]Раздел №1'!$I$136</f>
        <v>159.9</v>
      </c>
      <c r="M664" s="24"/>
      <c r="N664" s="24">
        <f>E664*F664</f>
        <v>0</v>
      </c>
      <c r="O664" s="7" t="s">
        <v>485</v>
      </c>
    </row>
    <row r="665" spans="1:15" ht="12.75" customHeight="1" hidden="1" outlineLevel="2">
      <c r="A665" s="20"/>
      <c r="B665" s="21"/>
      <c r="C665" s="22" t="s">
        <v>390</v>
      </c>
      <c r="D665" s="13" t="s">
        <v>33</v>
      </c>
      <c r="E665" s="16">
        <f>0.009*1000/100</f>
        <v>0.09</v>
      </c>
      <c r="F665" s="17">
        <f>11966.03/1200*1.096*1.25*1.18*1.074*1.118*1.091*1.078*1.077*1.08</f>
        <v>26.48</v>
      </c>
      <c r="G665" s="13"/>
      <c r="H665" s="13" t="s">
        <v>393</v>
      </c>
      <c r="I665" s="17"/>
      <c r="J665" s="13"/>
      <c r="K665" s="15"/>
      <c r="L665" s="15">
        <f>'[5]Раздел №1'!$I$136</f>
        <v>159.9</v>
      </c>
      <c r="M665" s="24"/>
      <c r="N665" s="24">
        <f>E665*F665</f>
        <v>2.4</v>
      </c>
      <c r="O665" s="7" t="s">
        <v>536</v>
      </c>
    </row>
    <row r="666" spans="1:15" ht="12.75" customHeight="1" hidden="1" outlineLevel="2">
      <c r="A666" s="20"/>
      <c r="B666" s="21"/>
      <c r="C666" s="22" t="s">
        <v>391</v>
      </c>
      <c r="D666" s="13" t="s">
        <v>33</v>
      </c>
      <c r="E666" s="16">
        <f>0.007*1000/100</f>
        <v>0.07</v>
      </c>
      <c r="F666" s="17">
        <f>52467.56/1000*1.18*1.096*1.25*1.074*1.118*1.091*1.078*1.077*1.08</f>
        <v>139.32</v>
      </c>
      <c r="G666" s="13"/>
      <c r="H666" s="13" t="s">
        <v>393</v>
      </c>
      <c r="I666" s="17"/>
      <c r="J666" s="13"/>
      <c r="K666" s="15"/>
      <c r="L666" s="15">
        <f>'[5]Раздел №1'!$I$136</f>
        <v>159.9</v>
      </c>
      <c r="M666" s="24"/>
      <c r="N666" s="24">
        <f>E666*F666</f>
        <v>9.8</v>
      </c>
      <c r="O666" s="7" t="s">
        <v>468</v>
      </c>
    </row>
    <row r="667" spans="1:15" ht="12.75" customHeight="1" hidden="1" outlineLevel="2">
      <c r="A667" s="20"/>
      <c r="B667" s="21"/>
      <c r="C667" s="22" t="s">
        <v>392</v>
      </c>
      <c r="D667" s="13" t="s">
        <v>33</v>
      </c>
      <c r="E667" s="16">
        <f>0.002*1000/100</f>
        <v>0.02</v>
      </c>
      <c r="F667" s="17">
        <f>51713.8/1000*1.18*1.096*1.25*1.074*1.118*1.091*1.078*1.077*1.08</f>
        <v>137.32</v>
      </c>
      <c r="G667" s="13"/>
      <c r="H667" s="13" t="s">
        <v>393</v>
      </c>
      <c r="I667" s="17"/>
      <c r="J667" s="13"/>
      <c r="K667" s="15"/>
      <c r="L667" s="15">
        <f>'[5]Раздел №1'!$I$136</f>
        <v>159.9</v>
      </c>
      <c r="M667" s="24"/>
      <c r="N667" s="24">
        <f>E667*F667</f>
        <v>2.7</v>
      </c>
      <c r="O667" s="7" t="s">
        <v>527</v>
      </c>
    </row>
    <row r="668" spans="1:15" ht="12.75" customHeight="1" hidden="1" outlineLevel="2">
      <c r="A668" s="20"/>
      <c r="B668" s="21"/>
      <c r="C668" s="22" t="s">
        <v>372</v>
      </c>
      <c r="D668" s="13" t="s">
        <v>230</v>
      </c>
      <c r="E668" s="16">
        <f>0.0004/100</f>
        <v>0</v>
      </c>
      <c r="F668" s="17">
        <f>256.95*1.096*1.25*1.18*1.074*1.118*1.091*1.078*1.077*1.08</f>
        <v>682.31</v>
      </c>
      <c r="G668" s="20"/>
      <c r="H668" s="13" t="s">
        <v>393</v>
      </c>
      <c r="I668" s="17"/>
      <c r="J668" s="13"/>
      <c r="K668" s="13"/>
      <c r="L668" s="15">
        <f>'[5]Раздел №1'!$I$136</f>
        <v>159.9</v>
      </c>
      <c r="M668" s="20"/>
      <c r="N668" s="24">
        <f>E668*F668</f>
        <v>0</v>
      </c>
      <c r="O668" s="7" t="s">
        <v>522</v>
      </c>
    </row>
    <row r="669" spans="1:14" ht="26.25" customHeight="1" outlineLevel="1" collapsed="1">
      <c r="A669" s="20" t="s">
        <v>751</v>
      </c>
      <c r="B669" s="21" t="s">
        <v>399</v>
      </c>
      <c r="C669" s="22"/>
      <c r="D669" s="13"/>
      <c r="E669" s="16"/>
      <c r="F669" s="32"/>
      <c r="G669" s="13" t="s">
        <v>398</v>
      </c>
      <c r="H669" s="13" t="s">
        <v>394</v>
      </c>
      <c r="I669" s="17">
        <f>20.79/100</f>
        <v>0.21</v>
      </c>
      <c r="J669" s="15">
        <v>1.2</v>
      </c>
      <c r="K669" s="17">
        <f>I669*J669</f>
        <v>0.25</v>
      </c>
      <c r="L669" s="15">
        <f>'[5]Раздел №1'!$I$61</f>
        <v>379.7</v>
      </c>
      <c r="M669" s="24">
        <f>K669*L669</f>
        <v>94.9</v>
      </c>
      <c r="N669" s="24">
        <f>SUM(N670:N674)</f>
        <v>0.1</v>
      </c>
    </row>
    <row r="670" spans="1:15" ht="0.75" customHeight="1" hidden="1" outlineLevel="3">
      <c r="A670" s="20"/>
      <c r="B670" s="21"/>
      <c r="C670" s="22" t="s">
        <v>395</v>
      </c>
      <c r="D670" s="13" t="s">
        <v>100</v>
      </c>
      <c r="E670" s="16">
        <f>0.2*0.3</f>
        <v>0.06</v>
      </c>
      <c r="F670" s="17"/>
      <c r="G670" s="13"/>
      <c r="H670" s="13" t="s">
        <v>394</v>
      </c>
      <c r="I670" s="17"/>
      <c r="J670" s="13"/>
      <c r="K670" s="15"/>
      <c r="L670" s="15"/>
      <c r="M670" s="24"/>
      <c r="N670" s="24">
        <f>E670*F670</f>
        <v>0</v>
      </c>
      <c r="O670" s="7" t="s">
        <v>526</v>
      </c>
    </row>
    <row r="671" spans="1:15" ht="15.75" customHeight="1" hidden="1" outlineLevel="3">
      <c r="A671" s="20"/>
      <c r="B671" s="21"/>
      <c r="C671" s="65" t="s">
        <v>396</v>
      </c>
      <c r="D671" s="13" t="s">
        <v>230</v>
      </c>
      <c r="E671" s="16">
        <f>0.037/100</f>
        <v>0</v>
      </c>
      <c r="F671" s="17">
        <f>4272.51*1.096*1.25*1.18*1.074*1.118*1.091*1.078*1.077*1.08</f>
        <v>11345.27</v>
      </c>
      <c r="G671" s="13"/>
      <c r="H671" s="13" t="s">
        <v>394</v>
      </c>
      <c r="I671" s="17"/>
      <c r="J671" s="13"/>
      <c r="K671" s="15"/>
      <c r="L671" s="15"/>
      <c r="M671" s="24"/>
      <c r="N671" s="24">
        <f>E671*F671</f>
        <v>0</v>
      </c>
      <c r="O671" s="7" t="s">
        <v>524</v>
      </c>
    </row>
    <row r="672" spans="1:15" ht="12.75" customHeight="1" hidden="1" outlineLevel="3">
      <c r="A672" s="20"/>
      <c r="B672" s="21"/>
      <c r="C672" s="22" t="s">
        <v>98</v>
      </c>
      <c r="D672" s="13" t="s">
        <v>33</v>
      </c>
      <c r="E672" s="16">
        <f>0.01/100</f>
        <v>0</v>
      </c>
      <c r="F672" s="17">
        <f>27.58*1.18*1.096*1.25*1.074*1.118*1.091*1.078*1.077*1.08</f>
        <v>73.24</v>
      </c>
      <c r="G672" s="13"/>
      <c r="H672" s="13" t="s">
        <v>394</v>
      </c>
      <c r="I672" s="17"/>
      <c r="J672" s="13"/>
      <c r="K672" s="15"/>
      <c r="L672" s="15"/>
      <c r="M672" s="24"/>
      <c r="N672" s="24">
        <f>E672*F672</f>
        <v>0</v>
      </c>
      <c r="O672" s="7" t="s">
        <v>443</v>
      </c>
    </row>
    <row r="673" spans="1:15" ht="15.75" customHeight="1" hidden="1" outlineLevel="3">
      <c r="A673" s="20"/>
      <c r="B673" s="21"/>
      <c r="C673" s="22" t="s">
        <v>497</v>
      </c>
      <c r="D673" s="13" t="s">
        <v>230</v>
      </c>
      <c r="E673" s="16">
        <f>0.0025/100</f>
        <v>0</v>
      </c>
      <c r="F673" s="17">
        <f>314.75*1.096*1.25*1.18*1.074*1.118*1.091*1.078*1.077*1.08</f>
        <v>835.79</v>
      </c>
      <c r="G673" s="13"/>
      <c r="H673" s="13" t="s">
        <v>394</v>
      </c>
      <c r="I673" s="17"/>
      <c r="J673" s="13"/>
      <c r="K673" s="15"/>
      <c r="L673" s="15"/>
      <c r="M673" s="24"/>
      <c r="N673" s="24">
        <f>E673*F673</f>
        <v>0</v>
      </c>
      <c r="O673" s="7" t="s">
        <v>496</v>
      </c>
    </row>
    <row r="674" spans="1:15" ht="15" customHeight="1" hidden="1" outlineLevel="3">
      <c r="A674" s="20"/>
      <c r="B674" s="21"/>
      <c r="C674" s="22" t="s">
        <v>397</v>
      </c>
      <c r="D674" s="13" t="s">
        <v>33</v>
      </c>
      <c r="E674" s="16">
        <f>0.001*1000/100</f>
        <v>0.01</v>
      </c>
      <c r="F674" s="17">
        <f>4136.78/1010*1.096*1.25*1.18*1.074*1.118*1.091*1.078*1.077*1.08</f>
        <v>10.88</v>
      </c>
      <c r="G674" s="20"/>
      <c r="H674" s="13" t="s">
        <v>394</v>
      </c>
      <c r="I674" s="17"/>
      <c r="J674" s="13"/>
      <c r="K674" s="13"/>
      <c r="L674" s="13"/>
      <c r="M674" s="20"/>
      <c r="N674" s="24">
        <f>E674*F674</f>
        <v>0.1</v>
      </c>
      <c r="O674" s="7" t="s">
        <v>535</v>
      </c>
    </row>
    <row r="675" spans="9:17" ht="12.75" customHeight="1" collapsed="1">
      <c r="I675" s="5"/>
      <c r="Q675" s="2" t="s">
        <v>103</v>
      </c>
    </row>
    <row r="676" ht="12.75" customHeight="1">
      <c r="I676" s="5"/>
    </row>
    <row r="677" spans="1:14" ht="12.75" customHeight="1">
      <c r="A677" s="175" t="s">
        <v>1100</v>
      </c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</row>
    <row r="678" spans="1:14" ht="12.75" customHeight="1">
      <c r="A678" s="176"/>
      <c r="B678" s="176"/>
      <c r="C678" s="176"/>
      <c r="D678" s="176"/>
      <c r="E678" s="176"/>
      <c r="F678" s="176"/>
      <c r="G678" s="176"/>
      <c r="H678" s="176"/>
      <c r="I678" s="176"/>
      <c r="J678" s="176"/>
      <c r="K678" s="176"/>
      <c r="L678" s="176"/>
      <c r="M678" s="176"/>
      <c r="N678" s="176"/>
    </row>
    <row r="679" spans="1:14" ht="12.75" customHeight="1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</row>
    <row r="680" spans="1:14" ht="12.75" customHeight="1">
      <c r="A680" s="174" t="s">
        <v>1101</v>
      </c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</row>
    <row r="682" ht="12.75" customHeight="1" hidden="1">
      <c r="B682" s="8" t="s">
        <v>592</v>
      </c>
    </row>
    <row r="685" spans="2:13" ht="12.75" customHeight="1">
      <c r="B685" s="70"/>
      <c r="C685" s="71"/>
      <c r="D685" s="70"/>
      <c r="E685" s="70"/>
      <c r="F685" s="70"/>
      <c r="G685" s="161"/>
      <c r="H685" s="161"/>
      <c r="I685" s="161"/>
      <c r="J685" s="161"/>
      <c r="K685" s="161"/>
      <c r="L685" s="161"/>
      <c r="M685" s="161"/>
    </row>
    <row r="707" spans="2:4" ht="12.75" customHeight="1">
      <c r="B707" s="173"/>
      <c r="C707" s="173"/>
      <c r="D707" s="173"/>
    </row>
    <row r="708" spans="2:4" ht="12.75" customHeight="1">
      <c r="B708" s="73"/>
      <c r="C708" s="73"/>
      <c r="D708" s="73"/>
    </row>
    <row r="709" spans="2:4" ht="12.75" customHeight="1">
      <c r="B709" s="73"/>
      <c r="C709" s="73"/>
      <c r="D709" s="73"/>
    </row>
    <row r="710" spans="2:4" ht="12.75" customHeight="1">
      <c r="B710" s="72"/>
      <c r="C710" s="72"/>
      <c r="D710" s="72"/>
    </row>
    <row r="711" spans="2:4" ht="12.75" customHeight="1">
      <c r="B711" s="72"/>
      <c r="C711" s="72"/>
      <c r="D711" s="72"/>
    </row>
    <row r="712" spans="2:4" ht="12.75" customHeight="1">
      <c r="B712" s="72"/>
      <c r="C712" s="72"/>
      <c r="D712" s="72"/>
    </row>
    <row r="713" spans="2:4" ht="12.75" customHeight="1">
      <c r="B713" s="72"/>
      <c r="C713" s="72"/>
      <c r="D713" s="72"/>
    </row>
    <row r="714" spans="2:4" ht="12.75" customHeight="1">
      <c r="B714" s="72"/>
      <c r="C714" s="72"/>
      <c r="D714" s="72"/>
    </row>
  </sheetData>
  <sheetProtection/>
  <autoFilter ref="A282:Y417"/>
  <mergeCells count="22">
    <mergeCell ref="A11:M11"/>
    <mergeCell ref="B12:M12"/>
    <mergeCell ref="A3:C3"/>
    <mergeCell ref="G8:N8"/>
    <mergeCell ref="A14:N14"/>
    <mergeCell ref="B707:D707"/>
    <mergeCell ref="A680:N680"/>
    <mergeCell ref="H16:H17"/>
    <mergeCell ref="A677:N677"/>
    <mergeCell ref="A678:N678"/>
    <mergeCell ref="A679:N679"/>
    <mergeCell ref="N16:N17"/>
    <mergeCell ref="G685:M685"/>
    <mergeCell ref="G6:N6"/>
    <mergeCell ref="I16:L16"/>
    <mergeCell ref="A13:N13"/>
    <mergeCell ref="M16:M17"/>
    <mergeCell ref="C16:F16"/>
    <mergeCell ref="A16:A17"/>
    <mergeCell ref="B16:B17"/>
    <mergeCell ref="G16:G17"/>
    <mergeCell ref="A10:M10"/>
  </mergeCells>
  <printOptions horizontalCentered="1"/>
  <pageMargins left="0" right="0" top="0" bottom="0" header="0.1968503937007874" footer="0.15748031496062992"/>
  <pageSetup fitToHeight="5" fitToWidth="1" horizontalDpi="600" verticalDpi="600" orientation="portrait" paperSize="9" r:id="rId1"/>
  <rowBreaks count="3" manualBreakCount="3">
    <brk id="170" max="13" man="1"/>
    <brk id="357" max="13" man="1"/>
    <brk id="4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IR96"/>
  <sheetViews>
    <sheetView zoomScalePageLayoutView="0" workbookViewId="0" topLeftCell="A9">
      <selection activeCell="D3" sqref="D3"/>
    </sheetView>
  </sheetViews>
  <sheetFormatPr defaultColWidth="9.140625" defaultRowHeight="12.75"/>
  <cols>
    <col min="1" max="1" width="6.00390625" style="0" customWidth="1"/>
    <col min="2" max="2" width="41.57421875" style="0" customWidth="1"/>
    <col min="4" max="4" width="13.57421875" style="0" customWidth="1"/>
    <col min="5" max="5" width="6.7109375" style="0" customWidth="1"/>
    <col min="6" max="6" width="6.00390625" style="0" customWidth="1"/>
    <col min="7" max="7" width="6.7109375" style="0" customWidth="1"/>
    <col min="9" max="9" width="8.421875" style="0" customWidth="1"/>
    <col min="10" max="10" width="0" style="0" hidden="1" customWidth="1"/>
  </cols>
  <sheetData>
    <row r="2" ht="12.75">
      <c r="B2" s="158" t="s">
        <v>1094</v>
      </c>
    </row>
    <row r="5" spans="1:14" ht="15.75" customHeight="1">
      <c r="A5" s="178" t="s">
        <v>1093</v>
      </c>
      <c r="B5" s="178"/>
      <c r="C5" s="178"/>
      <c r="D5" s="178"/>
      <c r="E5" s="178"/>
      <c r="F5" s="178"/>
      <c r="G5" s="178"/>
      <c r="H5" s="178"/>
      <c r="I5" s="178"/>
      <c r="J5" s="135"/>
      <c r="K5" s="135"/>
      <c r="L5" s="135"/>
      <c r="M5" s="135"/>
      <c r="N5" s="135"/>
    </row>
    <row r="8" spans="1:252" ht="15.75">
      <c r="A8" s="168" t="s">
        <v>17</v>
      </c>
      <c r="B8" s="169" t="s">
        <v>18</v>
      </c>
      <c r="C8" s="168" t="s">
        <v>19</v>
      </c>
      <c r="D8" s="168" t="s">
        <v>37</v>
      </c>
      <c r="E8" s="164" t="s">
        <v>25</v>
      </c>
      <c r="F8" s="165"/>
      <c r="G8" s="165"/>
      <c r="H8" s="166"/>
      <c r="I8" s="168" t="s">
        <v>764</v>
      </c>
      <c r="J8" s="177" t="s">
        <v>763</v>
      </c>
      <c r="K8" s="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67.5">
      <c r="A9" s="168"/>
      <c r="B9" s="169"/>
      <c r="C9" s="168"/>
      <c r="D9" s="168"/>
      <c r="E9" s="13" t="s">
        <v>22</v>
      </c>
      <c r="F9" s="13" t="s">
        <v>21</v>
      </c>
      <c r="G9" s="13" t="s">
        <v>24</v>
      </c>
      <c r="H9" s="13" t="s">
        <v>534</v>
      </c>
      <c r="I9" s="168"/>
      <c r="J9" s="177"/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38.25">
      <c r="A10" s="18">
        <v>1</v>
      </c>
      <c r="B10" s="18" t="s">
        <v>430</v>
      </c>
      <c r="C10" s="18" t="s">
        <v>431</v>
      </c>
      <c r="D10" s="18" t="s">
        <v>955</v>
      </c>
      <c r="E10" s="18" t="s">
        <v>956</v>
      </c>
      <c r="F10" s="18" t="s">
        <v>957</v>
      </c>
      <c r="G10" s="18" t="s">
        <v>958</v>
      </c>
      <c r="H10" s="18" t="s">
        <v>959</v>
      </c>
      <c r="I10" s="18" t="s">
        <v>960</v>
      </c>
      <c r="J10" s="18" t="s">
        <v>961</v>
      </c>
      <c r="K10" s="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15.75">
      <c r="A11" s="28">
        <v>1</v>
      </c>
      <c r="B11" s="26" t="s">
        <v>0</v>
      </c>
      <c r="C11" s="28"/>
      <c r="D11" s="28"/>
      <c r="E11" s="28"/>
      <c r="F11" s="28"/>
      <c r="G11" s="30"/>
      <c r="H11" s="28"/>
      <c r="I11" s="25"/>
      <c r="J11" s="31"/>
      <c r="K11" s="42"/>
      <c r="L11" s="53"/>
      <c r="M11" s="121"/>
      <c r="N11" s="121"/>
      <c r="O11" s="121"/>
      <c r="P11" s="121"/>
      <c r="Q11" s="121"/>
      <c r="R11" s="121"/>
      <c r="S11" s="121"/>
      <c r="T11" s="121"/>
      <c r="U11" s="121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25.5">
      <c r="A12" s="146" t="s">
        <v>1070</v>
      </c>
      <c r="B12" s="147" t="s">
        <v>1069</v>
      </c>
      <c r="C12" s="146"/>
      <c r="D12" s="146"/>
      <c r="E12" s="17"/>
      <c r="F12" s="15"/>
      <c r="G12" s="17"/>
      <c r="H12" s="15"/>
      <c r="I12" s="24"/>
      <c r="J12" s="24"/>
      <c r="K12" s="7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>
      <c r="A13" s="146"/>
      <c r="B13" s="147" t="s">
        <v>26</v>
      </c>
      <c r="C13" s="146" t="s">
        <v>23</v>
      </c>
      <c r="D13" s="146" t="s">
        <v>28</v>
      </c>
      <c r="E13" s="17">
        <v>0.3</v>
      </c>
      <c r="F13" s="15">
        <v>1</v>
      </c>
      <c r="G13" s="17">
        <v>0.3</v>
      </c>
      <c r="H13" s="15">
        <v>498.7</v>
      </c>
      <c r="I13" s="15">
        <v>149.6</v>
      </c>
      <c r="J13" s="24">
        <v>103.6</v>
      </c>
      <c r="K13" s="7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>
      <c r="A14" s="146"/>
      <c r="B14" s="147" t="s">
        <v>27</v>
      </c>
      <c r="C14" s="146" t="s">
        <v>23</v>
      </c>
      <c r="D14" s="146" t="s">
        <v>29</v>
      </c>
      <c r="E14" s="17">
        <v>0.4</v>
      </c>
      <c r="F14" s="15">
        <v>1</v>
      </c>
      <c r="G14" s="17">
        <v>0.4</v>
      </c>
      <c r="H14" s="15">
        <v>498.7</v>
      </c>
      <c r="I14" s="15">
        <v>199.5</v>
      </c>
      <c r="J14" s="24">
        <v>103.6</v>
      </c>
      <c r="K14" s="7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15.75">
      <c r="A15" s="146" t="s">
        <v>954</v>
      </c>
      <c r="B15" s="147" t="s">
        <v>20</v>
      </c>
      <c r="C15" s="146" t="s">
        <v>23</v>
      </c>
      <c r="D15" s="146" t="s">
        <v>368</v>
      </c>
      <c r="E15" s="17">
        <f>200/100</f>
        <v>2</v>
      </c>
      <c r="F15" s="15">
        <v>1.2</v>
      </c>
      <c r="G15" s="17">
        <f>E15*F15</f>
        <v>2.4</v>
      </c>
      <c r="H15" s="15">
        <v>498.7</v>
      </c>
      <c r="I15" s="15">
        <f>G15*H15</f>
        <v>1196.9</v>
      </c>
      <c r="J15" s="24">
        <v>9.9</v>
      </c>
      <c r="K15" s="7"/>
      <c r="L15" s="122"/>
      <c r="M15" s="53"/>
      <c r="N15" s="122"/>
      <c r="O15" s="122"/>
      <c r="P15" s="122"/>
      <c r="Q15" s="122"/>
      <c r="R15" s="122"/>
      <c r="S15" s="122"/>
      <c r="T15" s="122"/>
      <c r="U15" s="12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15.75">
      <c r="A16" s="146"/>
      <c r="B16" s="147" t="s">
        <v>54</v>
      </c>
      <c r="C16" s="146" t="s">
        <v>23</v>
      </c>
      <c r="D16" s="146" t="s">
        <v>367</v>
      </c>
      <c r="E16" s="17">
        <f>266.7/100</f>
        <v>2.67</v>
      </c>
      <c r="F16" s="15">
        <v>1.2</v>
      </c>
      <c r="G16" s="17">
        <f>E16*F16</f>
        <v>3.2</v>
      </c>
      <c r="H16" s="15">
        <v>498.7</v>
      </c>
      <c r="I16" s="15">
        <f>G16*H16</f>
        <v>1595.8</v>
      </c>
      <c r="J16" s="24">
        <v>10.6</v>
      </c>
      <c r="K16" s="7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15.75">
      <c r="A17" s="146" t="s">
        <v>651</v>
      </c>
      <c r="B17" s="147" t="s">
        <v>973</v>
      </c>
      <c r="C17" s="146" t="s">
        <v>23</v>
      </c>
      <c r="D17" s="146" t="s">
        <v>366</v>
      </c>
      <c r="E17" s="17">
        <v>2.12</v>
      </c>
      <c r="F17" s="15">
        <v>1.2</v>
      </c>
      <c r="G17" s="17">
        <f>E17*F17</f>
        <v>2.54</v>
      </c>
      <c r="H17" s="15">
        <v>498.7</v>
      </c>
      <c r="I17" s="15">
        <f>G17*H17</f>
        <v>1266.7</v>
      </c>
      <c r="J17" s="24">
        <v>26.6</v>
      </c>
      <c r="K17" s="7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ht="15.75">
      <c r="A18" s="146" t="s">
        <v>652</v>
      </c>
      <c r="B18" s="147" t="s">
        <v>72</v>
      </c>
      <c r="C18" s="146"/>
      <c r="D18" s="146"/>
      <c r="E18" s="13"/>
      <c r="F18" s="13"/>
      <c r="G18" s="15"/>
      <c r="H18" s="15"/>
      <c r="I18" s="15"/>
      <c r="J18" s="24"/>
      <c r="K18" s="7"/>
      <c r="L18" s="122"/>
      <c r="M18" s="55"/>
      <c r="N18" s="55"/>
      <c r="O18" s="56"/>
      <c r="P18" s="123"/>
      <c r="Q18" s="56"/>
      <c r="R18" s="123"/>
      <c r="S18" s="53"/>
      <c r="T18" s="53"/>
      <c r="U18" s="12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25.5">
      <c r="A19" s="146"/>
      <c r="B19" s="147" t="s">
        <v>73</v>
      </c>
      <c r="C19" s="146" t="s">
        <v>23</v>
      </c>
      <c r="D19" s="146" t="s">
        <v>75</v>
      </c>
      <c r="E19" s="17">
        <v>1.06</v>
      </c>
      <c r="F19" s="15">
        <v>1</v>
      </c>
      <c r="G19" s="17">
        <f>E19*F19</f>
        <v>1.06</v>
      </c>
      <c r="H19" s="15">
        <v>498.7</v>
      </c>
      <c r="I19" s="15">
        <f>G19*H19</f>
        <v>528.6</v>
      </c>
      <c r="J19" s="24">
        <v>18.1</v>
      </c>
      <c r="K19" s="7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ht="25.5">
      <c r="A20" s="146"/>
      <c r="B20" s="147" t="s">
        <v>76</v>
      </c>
      <c r="C20" s="146" t="s">
        <v>23</v>
      </c>
      <c r="D20" s="146" t="s">
        <v>75</v>
      </c>
      <c r="E20" s="17">
        <v>1.06</v>
      </c>
      <c r="F20" s="15">
        <v>1</v>
      </c>
      <c r="G20" s="17">
        <v>1.06</v>
      </c>
      <c r="H20" s="15">
        <v>498.7</v>
      </c>
      <c r="I20" s="15">
        <v>528.6</v>
      </c>
      <c r="J20" s="24">
        <v>21.4</v>
      </c>
      <c r="K20" s="7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ht="15.75">
      <c r="A21" s="146" t="s">
        <v>653</v>
      </c>
      <c r="B21" s="147" t="s">
        <v>1046</v>
      </c>
      <c r="C21" s="146" t="s">
        <v>23</v>
      </c>
      <c r="D21" s="146" t="s">
        <v>1048</v>
      </c>
      <c r="E21" s="17">
        <f>63.84/100</f>
        <v>0.64</v>
      </c>
      <c r="F21" s="15">
        <v>1</v>
      </c>
      <c r="G21" s="17">
        <f>E21*F21</f>
        <v>0.64</v>
      </c>
      <c r="H21" s="15">
        <v>498.7</v>
      </c>
      <c r="I21" s="15">
        <f>G21*H21</f>
        <v>319.2</v>
      </c>
      <c r="J21" s="24"/>
      <c r="K21" s="7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ht="15.75">
      <c r="A22" s="146" t="s">
        <v>654</v>
      </c>
      <c r="B22" s="147" t="s">
        <v>1049</v>
      </c>
      <c r="C22" s="146" t="s">
        <v>23</v>
      </c>
      <c r="D22" s="146" t="s">
        <v>361</v>
      </c>
      <c r="E22" s="17">
        <f>354.7/100</f>
        <v>3.55</v>
      </c>
      <c r="F22" s="15">
        <v>1.2</v>
      </c>
      <c r="G22" s="17">
        <f>E22*F22</f>
        <v>4.26</v>
      </c>
      <c r="H22" s="15">
        <v>498.7</v>
      </c>
      <c r="I22" s="15">
        <f>G22*H22</f>
        <v>2124.5</v>
      </c>
      <c r="J22" s="24">
        <v>10.8</v>
      </c>
      <c r="K22" s="7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ht="15.75">
      <c r="A23" s="146" t="s">
        <v>1072</v>
      </c>
      <c r="B23" s="147" t="s">
        <v>1071</v>
      </c>
      <c r="C23" s="146" t="s">
        <v>23</v>
      </c>
      <c r="D23" s="146" t="s">
        <v>360</v>
      </c>
      <c r="E23" s="17">
        <f>412.7/100</f>
        <v>4.13</v>
      </c>
      <c r="F23" s="15">
        <v>1.2</v>
      </c>
      <c r="G23" s="17">
        <f>E23*F23</f>
        <v>4.96</v>
      </c>
      <c r="H23" s="15">
        <v>498.7</v>
      </c>
      <c r="I23" s="15">
        <f>G23*H23</f>
        <v>2473.6</v>
      </c>
      <c r="J23" s="24">
        <v>20.6</v>
      </c>
      <c r="K23" s="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25.5">
      <c r="A24" s="146" t="s">
        <v>655</v>
      </c>
      <c r="B24" s="147" t="s">
        <v>1052</v>
      </c>
      <c r="C24" s="146" t="s">
        <v>124</v>
      </c>
      <c r="D24" s="146" t="s">
        <v>1051</v>
      </c>
      <c r="E24" s="17">
        <f>32.2/100</f>
        <v>0.32</v>
      </c>
      <c r="F24" s="17">
        <v>1</v>
      </c>
      <c r="G24" s="17">
        <f>E24*F24</f>
        <v>0.32</v>
      </c>
      <c r="H24" s="15">
        <v>498.7</v>
      </c>
      <c r="I24" s="15">
        <f>G24*H24</f>
        <v>159.6</v>
      </c>
      <c r="J24" s="24"/>
      <c r="K24" s="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25.5">
      <c r="A25" s="146" t="s">
        <v>656</v>
      </c>
      <c r="B25" s="147" t="s">
        <v>962</v>
      </c>
      <c r="C25" s="146" t="s">
        <v>539</v>
      </c>
      <c r="D25" s="146"/>
      <c r="E25" s="17" t="s">
        <v>963</v>
      </c>
      <c r="F25" s="17"/>
      <c r="G25" s="17"/>
      <c r="H25" s="15"/>
      <c r="I25" s="15"/>
      <c r="J25" s="24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25.5">
      <c r="A26" s="146" t="s">
        <v>657</v>
      </c>
      <c r="B26" s="147" t="s">
        <v>964</v>
      </c>
      <c r="C26" s="146" t="s">
        <v>539</v>
      </c>
      <c r="D26" s="146"/>
      <c r="E26" s="17" t="s">
        <v>965</v>
      </c>
      <c r="F26" s="17"/>
      <c r="G26" s="17"/>
      <c r="H26" s="15"/>
      <c r="I26" s="15"/>
      <c r="J26" s="24"/>
      <c r="K26" s="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5.75">
      <c r="A27" s="146" t="s">
        <v>658</v>
      </c>
      <c r="B27" s="147" t="s">
        <v>966</v>
      </c>
      <c r="C27" s="146"/>
      <c r="D27" s="146"/>
      <c r="E27" s="17" t="s">
        <v>967</v>
      </c>
      <c r="F27" s="17"/>
      <c r="G27" s="17"/>
      <c r="H27" s="15"/>
      <c r="I27" s="15"/>
      <c r="J27" s="24"/>
      <c r="K27" s="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25.5">
      <c r="A28" s="146" t="s">
        <v>659</v>
      </c>
      <c r="B28" s="147" t="s">
        <v>547</v>
      </c>
      <c r="C28" s="146" t="s">
        <v>544</v>
      </c>
      <c r="D28" s="146" t="s">
        <v>543</v>
      </c>
      <c r="E28" s="17">
        <v>0.89</v>
      </c>
      <c r="F28" s="17">
        <v>1.15</v>
      </c>
      <c r="G28" s="17">
        <v>1.02</v>
      </c>
      <c r="H28" s="15">
        <v>498.7</v>
      </c>
      <c r="I28" s="15">
        <v>508.7</v>
      </c>
      <c r="J28" s="24">
        <v>2.4</v>
      </c>
      <c r="K28" s="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25.5">
      <c r="A29" s="146" t="s">
        <v>660</v>
      </c>
      <c r="B29" s="147" t="s">
        <v>551</v>
      </c>
      <c r="C29" s="146" t="s">
        <v>544</v>
      </c>
      <c r="D29" s="146" t="s">
        <v>545</v>
      </c>
      <c r="E29" s="17">
        <v>2.21</v>
      </c>
      <c r="F29" s="17">
        <v>1</v>
      </c>
      <c r="G29" s="17">
        <v>2.21</v>
      </c>
      <c r="H29" s="15">
        <v>498.7</v>
      </c>
      <c r="I29" s="15">
        <v>1102.1</v>
      </c>
      <c r="J29" s="24">
        <v>10.5</v>
      </c>
      <c r="K29" s="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5.75">
      <c r="A30" s="146" t="s">
        <v>661</v>
      </c>
      <c r="B30" s="148" t="s">
        <v>554</v>
      </c>
      <c r="C30" s="146" t="s">
        <v>555</v>
      </c>
      <c r="D30" s="146" t="s">
        <v>557</v>
      </c>
      <c r="E30" s="13">
        <v>0.287</v>
      </c>
      <c r="F30" s="17">
        <v>1.15</v>
      </c>
      <c r="G30" s="17">
        <f>E30*F30</f>
        <v>0.33</v>
      </c>
      <c r="H30" s="15">
        <v>498.7</v>
      </c>
      <c r="I30" s="15">
        <f>G30*H30</f>
        <v>164.6</v>
      </c>
      <c r="J30" s="24">
        <v>56.5</v>
      </c>
      <c r="K30" s="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5.75">
      <c r="A31" s="146" t="s">
        <v>662</v>
      </c>
      <c r="B31" s="147" t="s">
        <v>565</v>
      </c>
      <c r="C31" s="146" t="s">
        <v>559</v>
      </c>
      <c r="D31" s="146" t="s">
        <v>566</v>
      </c>
      <c r="E31" s="13">
        <f>52.4/100</f>
        <v>0.524</v>
      </c>
      <c r="F31" s="13">
        <v>1.15</v>
      </c>
      <c r="G31" s="17">
        <f>E31*F31</f>
        <v>0.6</v>
      </c>
      <c r="H31" s="15">
        <v>498.7</v>
      </c>
      <c r="I31" s="15">
        <f>G31*H31</f>
        <v>299.2</v>
      </c>
      <c r="J31" s="24">
        <v>0</v>
      </c>
      <c r="K31" s="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ht="15.75">
      <c r="A32" s="146" t="s">
        <v>663</v>
      </c>
      <c r="B32" s="147" t="s">
        <v>597</v>
      </c>
      <c r="C32" s="146"/>
      <c r="D32" s="146"/>
      <c r="E32" s="17"/>
      <c r="F32" s="15"/>
      <c r="G32" s="17"/>
      <c r="H32" s="15"/>
      <c r="I32" s="15"/>
      <c r="J32" s="24"/>
      <c r="K32" s="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ht="15.75">
      <c r="A33" s="146" t="s">
        <v>1073</v>
      </c>
      <c r="B33" s="147" t="s">
        <v>599</v>
      </c>
      <c r="C33" s="146"/>
      <c r="D33" s="146"/>
      <c r="E33" s="17"/>
      <c r="F33" s="15"/>
      <c r="G33" s="17"/>
      <c r="H33" s="15"/>
      <c r="I33" s="15"/>
      <c r="J33" s="24"/>
      <c r="K33" s="53"/>
      <c r="L33" s="2"/>
      <c r="M33" s="2"/>
      <c r="N33" s="2" t="s">
        <v>103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ht="22.5">
      <c r="A34" s="146"/>
      <c r="B34" s="147" t="s">
        <v>600</v>
      </c>
      <c r="C34" s="146" t="s">
        <v>593</v>
      </c>
      <c r="D34" s="146" t="s">
        <v>602</v>
      </c>
      <c r="E34" s="17">
        <v>0.29</v>
      </c>
      <c r="F34" s="15">
        <v>1</v>
      </c>
      <c r="G34" s="17">
        <v>0.29</v>
      </c>
      <c r="H34" s="15">
        <v>498.7</v>
      </c>
      <c r="I34" s="143">
        <f>G34*H34</f>
        <v>145</v>
      </c>
      <c r="J34" s="54">
        <v>12</v>
      </c>
      <c r="K34" s="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ht="22.5">
      <c r="A35" s="146"/>
      <c r="B35" s="147" t="s">
        <v>601</v>
      </c>
      <c r="C35" s="146" t="s">
        <v>593</v>
      </c>
      <c r="D35" s="146" t="s">
        <v>602</v>
      </c>
      <c r="E35" s="17">
        <v>0.21</v>
      </c>
      <c r="F35" s="15">
        <v>1</v>
      </c>
      <c r="G35" s="17">
        <v>0.21</v>
      </c>
      <c r="H35" s="15">
        <v>498.7</v>
      </c>
      <c r="I35" s="143">
        <f>G35*H35</f>
        <v>105</v>
      </c>
      <c r="J35" s="54">
        <v>13</v>
      </c>
      <c r="K35" s="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ht="15.75">
      <c r="A36" s="149" t="s">
        <v>1074</v>
      </c>
      <c r="B36" s="147" t="s">
        <v>603</v>
      </c>
      <c r="C36" s="146"/>
      <c r="D36" s="146"/>
      <c r="E36" s="17"/>
      <c r="F36" s="15"/>
      <c r="G36" s="17"/>
      <c r="H36" s="15"/>
      <c r="I36" s="143"/>
      <c r="J36" s="24"/>
      <c r="K36" s="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ht="22.5">
      <c r="A37" s="149"/>
      <c r="B37" s="147" t="s">
        <v>600</v>
      </c>
      <c r="C37" s="146" t="s">
        <v>593</v>
      </c>
      <c r="D37" s="146" t="s">
        <v>602</v>
      </c>
      <c r="E37" s="17">
        <v>0.37</v>
      </c>
      <c r="F37" s="15">
        <v>1</v>
      </c>
      <c r="G37" s="17">
        <v>0.37</v>
      </c>
      <c r="H37" s="15">
        <v>498.7</v>
      </c>
      <c r="I37" s="143">
        <f>G37*H37</f>
        <v>185</v>
      </c>
      <c r="J37" s="24">
        <v>3.5</v>
      </c>
      <c r="K37" s="7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</row>
    <row r="38" spans="1:252" ht="22.5">
      <c r="A38" s="149"/>
      <c r="B38" s="147" t="s">
        <v>601</v>
      </c>
      <c r="C38" s="146" t="s">
        <v>593</v>
      </c>
      <c r="D38" s="146" t="s">
        <v>602</v>
      </c>
      <c r="E38" s="17">
        <v>0.31</v>
      </c>
      <c r="F38" s="15">
        <v>1</v>
      </c>
      <c r="G38" s="17">
        <v>0.31</v>
      </c>
      <c r="H38" s="15">
        <v>498.7</v>
      </c>
      <c r="I38" s="143">
        <f>G38*H38</f>
        <v>155</v>
      </c>
      <c r="J38" s="54">
        <v>4</v>
      </c>
      <c r="K38" s="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</row>
    <row r="39" spans="1:252" ht="15.75">
      <c r="A39" s="149" t="s">
        <v>1075</v>
      </c>
      <c r="B39" s="147" t="s">
        <v>1041</v>
      </c>
      <c r="C39" s="146"/>
      <c r="D39" s="146"/>
      <c r="E39" s="17"/>
      <c r="F39" s="17"/>
      <c r="G39" s="17"/>
      <c r="H39" s="15">
        <v>498.7</v>
      </c>
      <c r="I39" s="15"/>
      <c r="J39" s="24"/>
      <c r="K39" s="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5.75">
      <c r="A40" s="149"/>
      <c r="B40" s="147" t="s">
        <v>605</v>
      </c>
      <c r="C40" s="146" t="s">
        <v>593</v>
      </c>
      <c r="D40" s="146" t="s">
        <v>1042</v>
      </c>
      <c r="E40" s="17">
        <f>43.32/100</f>
        <v>0.43</v>
      </c>
      <c r="F40" s="17">
        <v>1</v>
      </c>
      <c r="G40" s="17">
        <f>E40*F40</f>
        <v>0.43</v>
      </c>
      <c r="H40" s="15">
        <v>498.7</v>
      </c>
      <c r="I40" s="143">
        <f>G40*H40</f>
        <v>214</v>
      </c>
      <c r="J40" s="24"/>
      <c r="K40" s="7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</row>
    <row r="41" spans="1:252" ht="15.75">
      <c r="A41" s="149"/>
      <c r="B41" s="147" t="s">
        <v>606</v>
      </c>
      <c r="C41" s="146" t="s">
        <v>593</v>
      </c>
      <c r="D41" s="146" t="s">
        <v>1043</v>
      </c>
      <c r="E41" s="17">
        <f>37.28/100</f>
        <v>0.37</v>
      </c>
      <c r="F41" s="17">
        <v>1</v>
      </c>
      <c r="G41" s="17">
        <f>E41*F41</f>
        <v>0.37</v>
      </c>
      <c r="H41" s="15">
        <v>498.7</v>
      </c>
      <c r="I41" s="143">
        <f>G41*H41</f>
        <v>185</v>
      </c>
      <c r="J41" s="24"/>
      <c r="K41" s="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</row>
    <row r="42" spans="1:252" ht="15.75">
      <c r="A42" s="149" t="s">
        <v>1076</v>
      </c>
      <c r="B42" s="147" t="s">
        <v>1045</v>
      </c>
      <c r="C42" s="146" t="s">
        <v>593</v>
      </c>
      <c r="D42" s="146" t="s">
        <v>1044</v>
      </c>
      <c r="E42" s="17">
        <f>100/100</f>
        <v>1</v>
      </c>
      <c r="F42" s="17">
        <v>1</v>
      </c>
      <c r="G42" s="17">
        <f>E42*F42</f>
        <v>1</v>
      </c>
      <c r="H42" s="15">
        <v>498.7</v>
      </c>
      <c r="I42" s="143">
        <f>G42*H42</f>
        <v>499</v>
      </c>
      <c r="J42" s="24"/>
      <c r="K42" s="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5.75">
      <c r="A43" s="149" t="s">
        <v>1077</v>
      </c>
      <c r="B43" s="147" t="s">
        <v>1063</v>
      </c>
      <c r="C43" s="146"/>
      <c r="D43" s="146"/>
      <c r="E43" s="17"/>
      <c r="F43" s="17"/>
      <c r="G43" s="17"/>
      <c r="H43" s="15">
        <v>498.7</v>
      </c>
      <c r="I43" s="15"/>
      <c r="J43" s="24"/>
      <c r="K43" s="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ht="15.75">
      <c r="A44" s="149"/>
      <c r="B44" s="147" t="s">
        <v>626</v>
      </c>
      <c r="C44" s="146" t="s">
        <v>593</v>
      </c>
      <c r="D44" s="146" t="s">
        <v>1054</v>
      </c>
      <c r="E44" s="17">
        <f>295/100</f>
        <v>2.95</v>
      </c>
      <c r="F44" s="17">
        <v>1</v>
      </c>
      <c r="G44" s="17">
        <f>E44*F44</f>
        <v>2.95</v>
      </c>
      <c r="H44" s="15">
        <v>498.7</v>
      </c>
      <c r="I44" s="143">
        <f>G44*H44</f>
        <v>1471</v>
      </c>
      <c r="J44" s="24"/>
      <c r="K44" s="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ht="15.75">
      <c r="A45" s="149"/>
      <c r="B45" s="147" t="s">
        <v>627</v>
      </c>
      <c r="C45" s="146" t="s">
        <v>593</v>
      </c>
      <c r="D45" s="146" t="s">
        <v>1055</v>
      </c>
      <c r="E45" s="17">
        <f>433/100</f>
        <v>4.33</v>
      </c>
      <c r="F45" s="17">
        <v>1</v>
      </c>
      <c r="G45" s="17">
        <f>E45*F45</f>
        <v>4.33</v>
      </c>
      <c r="H45" s="15">
        <v>498.7</v>
      </c>
      <c r="I45" s="143">
        <f>G45*H45</f>
        <v>2159</v>
      </c>
      <c r="J45" s="24"/>
      <c r="K45" s="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ht="15.75">
      <c r="A46" s="149"/>
      <c r="B46" s="147" t="s">
        <v>628</v>
      </c>
      <c r="C46" s="146" t="s">
        <v>593</v>
      </c>
      <c r="D46" s="146" t="s">
        <v>1056</v>
      </c>
      <c r="E46" s="17">
        <f>592/100</f>
        <v>5.92</v>
      </c>
      <c r="F46" s="17">
        <v>1</v>
      </c>
      <c r="G46" s="17">
        <f>E46*F46</f>
        <v>5.92</v>
      </c>
      <c r="H46" s="15">
        <v>498.7</v>
      </c>
      <c r="I46" s="143">
        <f>G46*H46</f>
        <v>2952</v>
      </c>
      <c r="J46" s="24"/>
      <c r="K46" s="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ht="15.75">
      <c r="A47" s="149" t="s">
        <v>1078</v>
      </c>
      <c r="B47" s="147" t="s">
        <v>1064</v>
      </c>
      <c r="C47" s="146"/>
      <c r="D47" s="146"/>
      <c r="E47" s="17"/>
      <c r="F47" s="15"/>
      <c r="G47" s="17"/>
      <c r="H47" s="15">
        <v>498.7</v>
      </c>
      <c r="I47" s="15"/>
      <c r="J47" s="24"/>
      <c r="K47" s="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ht="15.75">
      <c r="A48" s="146"/>
      <c r="B48" s="147" t="s">
        <v>1050</v>
      </c>
      <c r="C48" s="146"/>
      <c r="D48" s="146"/>
      <c r="E48" s="17"/>
      <c r="F48" s="15"/>
      <c r="G48" s="17"/>
      <c r="H48" s="15"/>
      <c r="I48" s="15"/>
      <c r="J48" s="24"/>
      <c r="K48" s="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5.75">
      <c r="A49" s="146"/>
      <c r="B49" s="147" t="s">
        <v>617</v>
      </c>
      <c r="C49" s="146" t="s">
        <v>548</v>
      </c>
      <c r="D49" s="146" t="s">
        <v>618</v>
      </c>
      <c r="E49" s="17">
        <f>308/100</f>
        <v>3.08</v>
      </c>
      <c r="F49" s="17">
        <v>1</v>
      </c>
      <c r="G49" s="17">
        <v>3.08</v>
      </c>
      <c r="H49" s="15">
        <v>498.7</v>
      </c>
      <c r="I49" s="143">
        <f>G49*H49</f>
        <v>1536</v>
      </c>
      <c r="J49" s="54">
        <v>644</v>
      </c>
      <c r="K49" s="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5.75">
      <c r="A50" s="146"/>
      <c r="B50" s="147" t="s">
        <v>624</v>
      </c>
      <c r="C50" s="146" t="s">
        <v>548</v>
      </c>
      <c r="D50" s="146" t="s">
        <v>611</v>
      </c>
      <c r="E50" s="17">
        <f>422/100</f>
        <v>4.22</v>
      </c>
      <c r="F50" s="17">
        <v>1</v>
      </c>
      <c r="G50" s="17">
        <f>E50*F50</f>
        <v>4.22</v>
      </c>
      <c r="H50" s="15">
        <v>498.7</v>
      </c>
      <c r="I50" s="143">
        <f>G50*H50</f>
        <v>2105</v>
      </c>
      <c r="J50" s="54">
        <v>929</v>
      </c>
      <c r="K50" s="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5.75">
      <c r="A51" s="146"/>
      <c r="B51" s="147" t="s">
        <v>613</v>
      </c>
      <c r="C51" s="146" t="s">
        <v>548</v>
      </c>
      <c r="D51" s="146" t="s">
        <v>614</v>
      </c>
      <c r="E51" s="17">
        <f>594/100</f>
        <v>5.94</v>
      </c>
      <c r="F51" s="17">
        <v>1</v>
      </c>
      <c r="G51" s="17">
        <f>E51*F51</f>
        <v>5.94</v>
      </c>
      <c r="H51" s="15">
        <v>498.7</v>
      </c>
      <c r="I51" s="143">
        <f>G51*H51</f>
        <v>2962</v>
      </c>
      <c r="J51" s="54">
        <v>1589</v>
      </c>
      <c r="K51" s="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5.75">
      <c r="A52" s="146"/>
      <c r="B52" s="147" t="s">
        <v>1065</v>
      </c>
      <c r="C52" s="146"/>
      <c r="D52" s="146"/>
      <c r="E52" s="17"/>
      <c r="F52" s="17"/>
      <c r="G52" s="17"/>
      <c r="H52" s="15"/>
      <c r="I52" s="143"/>
      <c r="J52" s="54"/>
      <c r="K52" s="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5.75">
      <c r="A53" s="146"/>
      <c r="B53" s="147" t="s">
        <v>626</v>
      </c>
      <c r="C53" s="146" t="s">
        <v>23</v>
      </c>
      <c r="D53" s="146" t="s">
        <v>1066</v>
      </c>
      <c r="E53" s="17">
        <f>291.6/100</f>
        <v>2.92</v>
      </c>
      <c r="F53" s="17">
        <v>1</v>
      </c>
      <c r="G53" s="17">
        <f>E53*F53</f>
        <v>2.92</v>
      </c>
      <c r="H53" s="15">
        <v>498.7</v>
      </c>
      <c r="I53" s="143">
        <f>G53*H53</f>
        <v>1456</v>
      </c>
      <c r="J53" s="54"/>
      <c r="K53" s="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5.75">
      <c r="A54" s="146"/>
      <c r="B54" s="147" t="s">
        <v>627</v>
      </c>
      <c r="C54" s="146" t="s">
        <v>23</v>
      </c>
      <c r="D54" s="146" t="s">
        <v>1067</v>
      </c>
      <c r="E54" s="17">
        <f>399.6/100</f>
        <v>4</v>
      </c>
      <c r="F54" s="17">
        <v>1</v>
      </c>
      <c r="G54" s="17">
        <f>E54*F54</f>
        <v>4</v>
      </c>
      <c r="H54" s="15">
        <v>498.7</v>
      </c>
      <c r="I54" s="143">
        <f>G54*H54</f>
        <v>1995</v>
      </c>
      <c r="J54" s="54"/>
      <c r="K54" s="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5.75">
      <c r="A55" s="146"/>
      <c r="B55" s="147" t="s">
        <v>628</v>
      </c>
      <c r="C55" s="146" t="s">
        <v>23</v>
      </c>
      <c r="D55" s="146" t="s">
        <v>1068</v>
      </c>
      <c r="E55" s="17">
        <f>538.8/100</f>
        <v>5.39</v>
      </c>
      <c r="F55" s="17">
        <v>1</v>
      </c>
      <c r="G55" s="17">
        <f>E55*F55</f>
        <v>5.39</v>
      </c>
      <c r="H55" s="15">
        <v>498.7</v>
      </c>
      <c r="I55" s="143">
        <f>G55*H55</f>
        <v>2688</v>
      </c>
      <c r="J55" s="54"/>
      <c r="K55" s="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5.75">
      <c r="A56" s="149" t="s">
        <v>1079</v>
      </c>
      <c r="B56" s="147" t="s">
        <v>1061</v>
      </c>
      <c r="C56" s="146"/>
      <c r="D56" s="146"/>
      <c r="E56" s="17"/>
      <c r="F56" s="17"/>
      <c r="G56" s="13"/>
      <c r="H56" s="15"/>
      <c r="I56" s="143"/>
      <c r="J56" s="24"/>
      <c r="K56" s="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5.75">
      <c r="A57" s="149"/>
      <c r="B57" s="147" t="s">
        <v>977</v>
      </c>
      <c r="C57" s="146" t="s">
        <v>548</v>
      </c>
      <c r="D57" s="146" t="s">
        <v>1057</v>
      </c>
      <c r="E57" s="129">
        <f>302.4/100</f>
        <v>3.02</v>
      </c>
      <c r="F57" s="17">
        <v>1</v>
      </c>
      <c r="G57" s="17">
        <f>E57*F57</f>
        <v>3.02</v>
      </c>
      <c r="H57" s="15">
        <v>498.7</v>
      </c>
      <c r="I57" s="143">
        <f>G57*H57</f>
        <v>1506</v>
      </c>
      <c r="J57" s="24"/>
      <c r="K57" s="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5.75">
      <c r="A58" s="149"/>
      <c r="B58" s="147" t="s">
        <v>976</v>
      </c>
      <c r="C58" s="146" t="s">
        <v>548</v>
      </c>
      <c r="D58" s="146" t="s">
        <v>1058</v>
      </c>
      <c r="E58" s="17">
        <f>520.8/100</f>
        <v>5.21</v>
      </c>
      <c r="F58" s="17">
        <v>1</v>
      </c>
      <c r="G58" s="17">
        <f>E58*F58</f>
        <v>5.21</v>
      </c>
      <c r="H58" s="15">
        <v>498.7</v>
      </c>
      <c r="I58" s="143">
        <f>G58*H58</f>
        <v>2598</v>
      </c>
      <c r="J58" s="24"/>
      <c r="K58" s="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5.75">
      <c r="A59" s="149"/>
      <c r="B59" s="147" t="s">
        <v>975</v>
      </c>
      <c r="C59" s="146" t="s">
        <v>548</v>
      </c>
      <c r="D59" s="146" t="s">
        <v>1059</v>
      </c>
      <c r="E59" s="17">
        <f>378.1/100</f>
        <v>3.78</v>
      </c>
      <c r="F59" s="17">
        <v>1</v>
      </c>
      <c r="G59" s="17">
        <f>E59*F59</f>
        <v>3.78</v>
      </c>
      <c r="H59" s="15">
        <v>498.7</v>
      </c>
      <c r="I59" s="143">
        <f>G59*H59</f>
        <v>1885</v>
      </c>
      <c r="J59" s="24"/>
      <c r="K59" s="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5.75">
      <c r="A60" s="149"/>
      <c r="B60" s="147" t="s">
        <v>978</v>
      </c>
      <c r="C60" s="146" t="s">
        <v>548</v>
      </c>
      <c r="D60" s="146" t="s">
        <v>1060</v>
      </c>
      <c r="E60" s="17">
        <f>733.2/100</f>
        <v>7.33</v>
      </c>
      <c r="F60" s="17">
        <v>1</v>
      </c>
      <c r="G60" s="17">
        <f>E60*F60</f>
        <v>7.33</v>
      </c>
      <c r="H60" s="15">
        <v>498.7</v>
      </c>
      <c r="I60" s="143">
        <f>G60*H60</f>
        <v>3655</v>
      </c>
      <c r="J60" s="24"/>
      <c r="K60" s="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25.5">
      <c r="A61" s="149" t="s">
        <v>1080</v>
      </c>
      <c r="B61" s="147" t="s">
        <v>983</v>
      </c>
      <c r="C61" s="146"/>
      <c r="D61" s="146"/>
      <c r="E61" s="17"/>
      <c r="F61" s="17"/>
      <c r="G61" s="13"/>
      <c r="H61" s="15"/>
      <c r="I61" s="143"/>
      <c r="J61" s="24"/>
      <c r="K61" s="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5.75">
      <c r="A62" s="149"/>
      <c r="B62" s="147" t="s">
        <v>626</v>
      </c>
      <c r="C62" s="146" t="s">
        <v>23</v>
      </c>
      <c r="D62" s="146" t="s">
        <v>1066</v>
      </c>
      <c r="E62" s="17"/>
      <c r="F62" s="17"/>
      <c r="G62" s="13"/>
      <c r="H62" s="15"/>
      <c r="I62" s="143"/>
      <c r="J62" s="24"/>
      <c r="K62" s="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5.75">
      <c r="A63" s="149"/>
      <c r="B63" s="147" t="s">
        <v>627</v>
      </c>
      <c r="C63" s="146" t="s">
        <v>23</v>
      </c>
      <c r="D63" s="146" t="s">
        <v>984</v>
      </c>
      <c r="E63" s="17"/>
      <c r="F63" s="17"/>
      <c r="G63" s="13"/>
      <c r="H63" s="15"/>
      <c r="I63" s="143"/>
      <c r="J63" s="24"/>
      <c r="K63" s="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5.75">
      <c r="A64" s="149"/>
      <c r="B64" s="147" t="s">
        <v>628</v>
      </c>
      <c r="C64" s="146" t="s">
        <v>23</v>
      </c>
      <c r="D64" s="146" t="s">
        <v>985</v>
      </c>
      <c r="E64" s="17"/>
      <c r="F64" s="17"/>
      <c r="G64" s="13"/>
      <c r="H64" s="15"/>
      <c r="I64" s="143"/>
      <c r="J64" s="24"/>
      <c r="K64" s="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5.75">
      <c r="A65" s="149" t="s">
        <v>1081</v>
      </c>
      <c r="B65" s="147" t="s">
        <v>968</v>
      </c>
      <c r="C65" s="146" t="s">
        <v>963</v>
      </c>
      <c r="D65" s="146"/>
      <c r="E65" s="17"/>
      <c r="F65" s="17"/>
      <c r="G65" s="13"/>
      <c r="H65" s="15"/>
      <c r="I65" s="143"/>
      <c r="J65" s="24"/>
      <c r="K65" s="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22.5">
      <c r="A66" s="149" t="s">
        <v>1082</v>
      </c>
      <c r="B66" s="147" t="s">
        <v>1083</v>
      </c>
      <c r="C66" s="146" t="s">
        <v>587</v>
      </c>
      <c r="D66" s="146" t="s">
        <v>1062</v>
      </c>
      <c r="E66" s="17">
        <f>(50.5+85.5+119.7+165.3+185.82+202.72)/6/100</f>
        <v>1.35</v>
      </c>
      <c r="F66" s="17">
        <v>1</v>
      </c>
      <c r="G66" s="17">
        <f>E66*F66</f>
        <v>1.35</v>
      </c>
      <c r="H66" s="15">
        <v>498.7</v>
      </c>
      <c r="I66" s="143">
        <f>G66*H66</f>
        <v>673</v>
      </c>
      <c r="J66" s="24"/>
      <c r="K66" s="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10" ht="12.75">
      <c r="A67" s="149" t="s">
        <v>1084</v>
      </c>
      <c r="B67" s="150" t="s">
        <v>969</v>
      </c>
      <c r="C67" s="151"/>
      <c r="D67" s="151"/>
      <c r="E67" s="128"/>
      <c r="F67" s="128"/>
      <c r="G67" s="128"/>
      <c r="H67" s="128"/>
      <c r="I67" s="115"/>
      <c r="J67" s="128"/>
    </row>
    <row r="68" spans="1:10" ht="12.75">
      <c r="A68" s="149"/>
      <c r="B68" s="152" t="s">
        <v>971</v>
      </c>
      <c r="C68" s="151" t="s">
        <v>970</v>
      </c>
      <c r="D68" s="146" t="s">
        <v>972</v>
      </c>
      <c r="E68" s="128">
        <f>174/100</f>
        <v>1.74</v>
      </c>
      <c r="F68" s="128">
        <v>1</v>
      </c>
      <c r="G68" s="128">
        <f>E68*F68</f>
        <v>1.74</v>
      </c>
      <c r="H68" s="15">
        <v>498.7</v>
      </c>
      <c r="I68" s="144">
        <f>G68*H68</f>
        <v>868</v>
      </c>
      <c r="J68" s="128"/>
    </row>
    <row r="69" spans="1:10" ht="25.5">
      <c r="A69" s="149" t="s">
        <v>1085</v>
      </c>
      <c r="B69" s="152" t="s">
        <v>1053</v>
      </c>
      <c r="C69" s="151" t="s">
        <v>124</v>
      </c>
      <c r="D69" s="146" t="s">
        <v>545</v>
      </c>
      <c r="E69" s="128">
        <f>220.8/100</f>
        <v>2.208</v>
      </c>
      <c r="F69" s="128">
        <v>1</v>
      </c>
      <c r="G69" s="128">
        <f>E69*F69</f>
        <v>2.208</v>
      </c>
      <c r="H69" s="15">
        <v>498.7</v>
      </c>
      <c r="I69" s="144">
        <f>G69*H69</f>
        <v>1101</v>
      </c>
      <c r="J69" s="128"/>
    </row>
    <row r="70" spans="1:11" ht="12.75">
      <c r="A70" s="149" t="s">
        <v>1086</v>
      </c>
      <c r="B70" s="153" t="s">
        <v>974</v>
      </c>
      <c r="C70" s="153"/>
      <c r="D70" s="153"/>
      <c r="E70" s="127"/>
      <c r="F70" s="127"/>
      <c r="G70" s="127"/>
      <c r="H70" s="127"/>
      <c r="I70" s="145"/>
      <c r="J70" s="130"/>
      <c r="K70" s="130"/>
    </row>
    <row r="71" spans="1:11" ht="12.75">
      <c r="A71" s="149"/>
      <c r="B71" s="147" t="s">
        <v>979</v>
      </c>
      <c r="C71" s="146" t="s">
        <v>548</v>
      </c>
      <c r="D71" s="153"/>
      <c r="E71" s="131">
        <f>0.4</f>
        <v>0.4</v>
      </c>
      <c r="F71" s="131">
        <v>1</v>
      </c>
      <c r="G71" s="131">
        <f>E71*F71</f>
        <v>0.4</v>
      </c>
      <c r="H71" s="131">
        <v>498.7</v>
      </c>
      <c r="I71" s="115">
        <f>G71*H71</f>
        <v>199.48</v>
      </c>
      <c r="J71" s="130"/>
      <c r="K71" s="130"/>
    </row>
    <row r="72" spans="1:11" ht="12.75">
      <c r="A72" s="149"/>
      <c r="B72" s="147" t="s">
        <v>980</v>
      </c>
      <c r="C72" s="146" t="s">
        <v>548</v>
      </c>
      <c r="D72" s="153"/>
      <c r="E72" s="134">
        <v>2</v>
      </c>
      <c r="F72" s="131">
        <v>1</v>
      </c>
      <c r="G72" s="134">
        <f>E72*F72</f>
        <v>2</v>
      </c>
      <c r="H72" s="131">
        <v>498.7</v>
      </c>
      <c r="I72" s="115">
        <f>G72*H72</f>
        <v>997.4</v>
      </c>
      <c r="J72" s="130"/>
      <c r="K72" s="130"/>
    </row>
    <row r="73" spans="1:11" ht="25.5">
      <c r="A73" s="149" t="s">
        <v>1087</v>
      </c>
      <c r="B73" s="154" t="s">
        <v>981</v>
      </c>
      <c r="C73" s="155" t="s">
        <v>982</v>
      </c>
      <c r="D73" s="155"/>
      <c r="E73" s="131">
        <v>3</v>
      </c>
      <c r="F73" s="131">
        <v>1</v>
      </c>
      <c r="G73" s="134">
        <f>E73*F73</f>
        <v>3</v>
      </c>
      <c r="H73" s="131">
        <v>498.7</v>
      </c>
      <c r="I73" s="115">
        <f>G73*H73</f>
        <v>1496.1</v>
      </c>
      <c r="J73" s="130"/>
      <c r="K73" s="130"/>
    </row>
    <row r="74" spans="1:11" ht="12.75">
      <c r="A74" s="153"/>
      <c r="B74" s="153"/>
      <c r="C74" s="155"/>
      <c r="D74" s="155"/>
      <c r="E74" s="131"/>
      <c r="F74" s="131"/>
      <c r="G74" s="131"/>
      <c r="H74" s="131"/>
      <c r="I74" s="131"/>
      <c r="J74" s="130"/>
      <c r="K74" s="130"/>
    </row>
    <row r="75" spans="1:11" ht="12.75">
      <c r="A75" s="153"/>
      <c r="B75" s="153"/>
      <c r="C75" s="155"/>
      <c r="D75" s="155"/>
      <c r="E75" s="131"/>
      <c r="F75" s="131"/>
      <c r="G75" s="131"/>
      <c r="H75" s="131"/>
      <c r="I75" s="131"/>
      <c r="J75" s="130"/>
      <c r="K75" s="130"/>
    </row>
    <row r="76" spans="1:11" ht="12.75">
      <c r="A76" s="156"/>
      <c r="B76" s="156"/>
      <c r="C76" s="156"/>
      <c r="D76" s="156"/>
      <c r="E76" s="132"/>
      <c r="F76" s="132"/>
      <c r="G76" s="132"/>
      <c r="H76" s="132"/>
      <c r="I76" s="132"/>
      <c r="J76" s="130"/>
      <c r="K76" s="130"/>
    </row>
    <row r="77" spans="1:9" ht="12.75">
      <c r="A77" s="157"/>
      <c r="B77" s="157"/>
      <c r="C77" s="157"/>
      <c r="D77" s="157"/>
      <c r="E77" s="133"/>
      <c r="F77" s="133"/>
      <c r="G77" s="133"/>
      <c r="H77" s="133"/>
      <c r="I77" s="133"/>
    </row>
    <row r="78" spans="1:9" ht="12.75">
      <c r="A78" s="157"/>
      <c r="B78" s="157"/>
      <c r="C78" s="157"/>
      <c r="D78" s="157"/>
      <c r="E78" s="133"/>
      <c r="F78" s="133"/>
      <c r="G78" s="133"/>
      <c r="H78" s="133"/>
      <c r="I78" s="133"/>
    </row>
    <row r="79" spans="1:4" ht="12.75">
      <c r="A79" s="157"/>
      <c r="B79" s="157"/>
      <c r="C79" s="157"/>
      <c r="D79" s="157"/>
    </row>
    <row r="80" spans="1:4" ht="12.75">
      <c r="A80" s="157"/>
      <c r="B80" s="157"/>
      <c r="C80" s="157"/>
      <c r="D80" s="157"/>
    </row>
    <row r="81" spans="1:4" ht="12.75">
      <c r="A81" s="157"/>
      <c r="B81" s="157"/>
      <c r="C81" s="157"/>
      <c r="D81" s="157"/>
    </row>
    <row r="82" spans="1:4" ht="12.75">
      <c r="A82" s="157"/>
      <c r="B82" s="157"/>
      <c r="C82" s="157"/>
      <c r="D82" s="157"/>
    </row>
    <row r="83" spans="1:4" ht="12.75">
      <c r="A83" s="157"/>
      <c r="B83" s="157"/>
      <c r="C83" s="157"/>
      <c r="D83" s="157"/>
    </row>
    <row r="84" spans="1:4" ht="12.75">
      <c r="A84" s="157"/>
      <c r="B84" s="157"/>
      <c r="C84" s="157"/>
      <c r="D84" s="157"/>
    </row>
    <row r="85" spans="1:4" ht="12.75">
      <c r="A85" s="157"/>
      <c r="B85" s="157"/>
      <c r="C85" s="157"/>
      <c r="D85" s="157"/>
    </row>
    <row r="86" spans="1:4" ht="12.75">
      <c r="A86" s="157"/>
      <c r="B86" s="157"/>
      <c r="C86" s="157"/>
      <c r="D86" s="157"/>
    </row>
    <row r="87" spans="1:4" ht="12.75">
      <c r="A87" s="157"/>
      <c r="B87" s="157"/>
      <c r="C87" s="157"/>
      <c r="D87" s="157"/>
    </row>
    <row r="88" spans="1:4" ht="12.75">
      <c r="A88" s="157"/>
      <c r="B88" s="157"/>
      <c r="C88" s="157"/>
      <c r="D88" s="157"/>
    </row>
    <row r="89" spans="1:4" ht="12.75">
      <c r="A89" s="157"/>
      <c r="B89" s="157"/>
      <c r="C89" s="157"/>
      <c r="D89" s="157"/>
    </row>
    <row r="90" spans="1:4" ht="12.75">
      <c r="A90" s="157"/>
      <c r="B90" s="157"/>
      <c r="C90" s="157"/>
      <c r="D90" s="157"/>
    </row>
    <row r="91" spans="1:4" ht="12.75">
      <c r="A91" s="157"/>
      <c r="B91" s="157"/>
      <c r="C91" s="157"/>
      <c r="D91" s="157"/>
    </row>
    <row r="92" spans="1:4" ht="12.75">
      <c r="A92" s="157"/>
      <c r="B92" s="157"/>
      <c r="C92" s="157"/>
      <c r="D92" s="157"/>
    </row>
    <row r="93" spans="1:4" ht="12.75">
      <c r="A93" s="157"/>
      <c r="B93" s="157"/>
      <c r="C93" s="157"/>
      <c r="D93" s="157"/>
    </row>
    <row r="94" spans="1:4" ht="12.75">
      <c r="A94" s="157"/>
      <c r="B94" s="157"/>
      <c r="C94" s="157"/>
      <c r="D94" s="157"/>
    </row>
    <row r="95" spans="1:4" ht="12.75">
      <c r="A95" s="157"/>
      <c r="B95" s="157"/>
      <c r="C95" s="157"/>
      <c r="D95" s="157"/>
    </row>
    <row r="96" spans="1:4" ht="12.75">
      <c r="A96" s="157"/>
      <c r="B96" s="157"/>
      <c r="C96" s="157"/>
      <c r="D96" s="157"/>
    </row>
  </sheetData>
  <sheetProtection/>
  <autoFilter ref="A11:IR73"/>
  <mergeCells count="8">
    <mergeCell ref="A5:I5"/>
    <mergeCell ref="E8:H8"/>
    <mergeCell ref="I8:I9"/>
    <mergeCell ref="J8:J9"/>
    <mergeCell ref="A8:A9"/>
    <mergeCell ref="B8:B9"/>
    <mergeCell ref="C8:C9"/>
    <mergeCell ref="D8:D9"/>
  </mergeCells>
  <printOptions/>
  <pageMargins left="0.1968503937007874" right="0" top="0.1968503937007874" bottom="0" header="0.5118110236220472" footer="0.5118110236220472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29.00390625" style="0" customWidth="1"/>
  </cols>
  <sheetData>
    <row r="1" spans="1:10" ht="12.75">
      <c r="A1" s="75"/>
      <c r="B1" s="76"/>
      <c r="C1" s="77"/>
      <c r="D1" s="78"/>
      <c r="E1" s="75"/>
      <c r="F1" s="75"/>
      <c r="G1" s="75"/>
      <c r="H1" s="75"/>
      <c r="I1" s="75"/>
      <c r="J1" s="79"/>
    </row>
    <row r="2" spans="1:10" ht="12.75">
      <c r="A2" s="179" t="s">
        <v>1099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2.75">
      <c r="A3" s="180" t="s">
        <v>1097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2.75">
      <c r="A4" s="75"/>
      <c r="B4" s="76"/>
      <c r="C4" s="77"/>
      <c r="D4" s="78"/>
      <c r="E4" s="75"/>
      <c r="F4" s="75"/>
      <c r="G4" s="75"/>
      <c r="H4" s="75"/>
      <c r="I4" s="75"/>
      <c r="J4" s="75"/>
    </row>
    <row r="5" spans="1:10" ht="12.75">
      <c r="A5" s="82" t="s">
        <v>766</v>
      </c>
      <c r="B5" s="82" t="s">
        <v>767</v>
      </c>
      <c r="C5" s="83" t="s">
        <v>768</v>
      </c>
      <c r="D5" s="82" t="s">
        <v>19</v>
      </c>
      <c r="E5" s="82" t="s">
        <v>769</v>
      </c>
      <c r="F5" s="82" t="s">
        <v>770</v>
      </c>
      <c r="G5" s="82" t="s">
        <v>771</v>
      </c>
      <c r="H5" s="84" t="s">
        <v>772</v>
      </c>
      <c r="I5" s="82" t="s">
        <v>773</v>
      </c>
      <c r="J5" s="85" t="s">
        <v>772</v>
      </c>
    </row>
    <row r="6" spans="1:10" ht="12.75">
      <c r="A6" s="86" t="s">
        <v>774</v>
      </c>
      <c r="B6" s="86" t="s">
        <v>775</v>
      </c>
      <c r="C6" s="87"/>
      <c r="D6" s="88"/>
      <c r="E6" s="86" t="s">
        <v>776</v>
      </c>
      <c r="F6" s="86" t="s">
        <v>777</v>
      </c>
      <c r="G6" s="86" t="s">
        <v>778</v>
      </c>
      <c r="H6" s="89" t="s">
        <v>779</v>
      </c>
      <c r="I6" s="86" t="s">
        <v>780</v>
      </c>
      <c r="J6" s="90" t="s">
        <v>781</v>
      </c>
    </row>
    <row r="7" spans="1:10" ht="12.75">
      <c r="A7" s="91"/>
      <c r="B7" s="92"/>
      <c r="C7" s="93"/>
      <c r="D7" s="92"/>
      <c r="E7" s="91" t="s">
        <v>782</v>
      </c>
      <c r="F7" s="91"/>
      <c r="G7" s="91" t="s">
        <v>783</v>
      </c>
      <c r="H7" s="94" t="s">
        <v>784</v>
      </c>
      <c r="I7" s="95">
        <v>0.18</v>
      </c>
      <c r="J7" s="96" t="s">
        <v>780</v>
      </c>
    </row>
    <row r="8" spans="1:10" ht="12.75">
      <c r="A8" s="97">
        <v>1</v>
      </c>
      <c r="B8" s="98" t="s">
        <v>785</v>
      </c>
      <c r="C8" s="99"/>
      <c r="D8" s="100"/>
      <c r="E8" s="101"/>
      <c r="F8" s="101"/>
      <c r="G8" s="101"/>
      <c r="H8" s="101"/>
      <c r="I8" s="101"/>
      <c r="J8" s="101"/>
    </row>
    <row r="9" spans="1:10" ht="12.75">
      <c r="A9" s="97" t="s">
        <v>598</v>
      </c>
      <c r="B9" s="102" t="s">
        <v>786</v>
      </c>
      <c r="C9" s="99"/>
      <c r="D9" s="100"/>
      <c r="E9" s="101"/>
      <c r="F9" s="101"/>
      <c r="G9" s="101"/>
      <c r="H9" s="101"/>
      <c r="I9" s="101"/>
      <c r="J9" s="101"/>
    </row>
    <row r="10" spans="1:10" ht="12.75">
      <c r="A10" s="101" t="s">
        <v>787</v>
      </c>
      <c r="B10" s="100" t="s">
        <v>788</v>
      </c>
      <c r="C10" s="99" t="s">
        <v>1098</v>
      </c>
      <c r="D10" s="101" t="s">
        <v>789</v>
      </c>
      <c r="E10" s="101">
        <v>1.5</v>
      </c>
      <c r="F10" s="103">
        <v>4</v>
      </c>
      <c r="G10" s="104">
        <f>'[2]Реестр'!E22</f>
        <v>142.3</v>
      </c>
      <c r="H10" s="103">
        <f>E10*G10*1.25</f>
        <v>266.8</v>
      </c>
      <c r="I10" s="103">
        <f>+H10*$I$7</f>
        <v>48</v>
      </c>
      <c r="J10" s="103">
        <f>SUM(H10:I10)</f>
        <v>314.8</v>
      </c>
    </row>
    <row r="11" spans="1:10" ht="12.75">
      <c r="A11" s="101" t="s">
        <v>790</v>
      </c>
      <c r="B11" s="100" t="s">
        <v>791</v>
      </c>
      <c r="C11" s="99" t="s">
        <v>792</v>
      </c>
      <c r="D11" s="101" t="s">
        <v>793</v>
      </c>
      <c r="E11" s="101">
        <v>0.4</v>
      </c>
      <c r="F11" s="103">
        <v>4</v>
      </c>
      <c r="G11" s="104">
        <v>142.3</v>
      </c>
      <c r="H11" s="103">
        <f>E11*G11*1.25</f>
        <v>71.2</v>
      </c>
      <c r="I11" s="103">
        <f>+H11*$I$7</f>
        <v>12.8</v>
      </c>
      <c r="J11" s="103">
        <f>SUM(H11:I11)</f>
        <v>84</v>
      </c>
    </row>
    <row r="12" spans="1:10" ht="12.75">
      <c r="A12" s="101" t="s">
        <v>794</v>
      </c>
      <c r="B12" s="100" t="s">
        <v>795</v>
      </c>
      <c r="C12" s="99" t="s">
        <v>796</v>
      </c>
      <c r="D12" s="101" t="s">
        <v>797</v>
      </c>
      <c r="E12" s="104">
        <v>0.1</v>
      </c>
      <c r="F12" s="103">
        <v>4</v>
      </c>
      <c r="G12" s="104">
        <v>142.3</v>
      </c>
      <c r="H12" s="103">
        <f>E12*G12*1.25</f>
        <v>17.8</v>
      </c>
      <c r="I12" s="103">
        <f>+H12*$I$7</f>
        <v>3.2</v>
      </c>
      <c r="J12" s="103">
        <f>SUM(H12:I12)</f>
        <v>21</v>
      </c>
    </row>
    <row r="13" spans="1:10" ht="12.75">
      <c r="A13" s="101" t="s">
        <v>798</v>
      </c>
      <c r="B13" s="100" t="s">
        <v>799</v>
      </c>
      <c r="C13" s="99" t="s">
        <v>800</v>
      </c>
      <c r="D13" s="101" t="s">
        <v>801</v>
      </c>
      <c r="E13" s="101">
        <v>0.16</v>
      </c>
      <c r="F13" s="103">
        <v>4</v>
      </c>
      <c r="G13" s="104">
        <v>142.3</v>
      </c>
      <c r="H13" s="103">
        <f>E13*G13*1.25</f>
        <v>28.5</v>
      </c>
      <c r="I13" s="103">
        <f>+H13*$I$7</f>
        <v>5.1</v>
      </c>
      <c r="J13" s="103">
        <f>SUM(H13:I13)</f>
        <v>33.6</v>
      </c>
    </row>
    <row r="14" spans="1:10" ht="12.75">
      <c r="A14" s="101" t="s">
        <v>802</v>
      </c>
      <c r="B14" s="100" t="s">
        <v>803</v>
      </c>
      <c r="C14" s="99" t="s">
        <v>804</v>
      </c>
      <c r="D14" s="101" t="s">
        <v>797</v>
      </c>
      <c r="E14" s="104">
        <v>4</v>
      </c>
      <c r="F14" s="103">
        <v>4</v>
      </c>
      <c r="G14" s="104">
        <v>142.3</v>
      </c>
      <c r="H14" s="103">
        <f>E14*G14*1.25</f>
        <v>711.5</v>
      </c>
      <c r="I14" s="103">
        <f>+H14*$I$7</f>
        <v>128.1</v>
      </c>
      <c r="J14" s="103">
        <f>SUM(H14:I14)</f>
        <v>839.6</v>
      </c>
    </row>
    <row r="15" spans="1:10" ht="12.75">
      <c r="A15" s="97" t="s">
        <v>604</v>
      </c>
      <c r="B15" s="98" t="s">
        <v>805</v>
      </c>
      <c r="C15" s="99"/>
      <c r="D15" s="101"/>
      <c r="E15" s="104"/>
      <c r="F15" s="103"/>
      <c r="G15" s="104"/>
      <c r="H15" s="103"/>
      <c r="I15" s="103"/>
      <c r="J15" s="103"/>
    </row>
    <row r="16" spans="1:10" ht="12.75">
      <c r="A16" s="101" t="s">
        <v>787</v>
      </c>
      <c r="B16" s="100" t="s">
        <v>892</v>
      </c>
      <c r="C16" s="99" t="s">
        <v>806</v>
      </c>
      <c r="D16" s="101" t="s">
        <v>807</v>
      </c>
      <c r="E16" s="101">
        <v>0.03</v>
      </c>
      <c r="F16" s="103">
        <v>4</v>
      </c>
      <c r="G16" s="104">
        <v>142.3</v>
      </c>
      <c r="H16" s="103">
        <f aca="true" t="shared" si="0" ref="H16:H24">E16*G16*1.25</f>
        <v>5.3</v>
      </c>
      <c r="I16" s="103">
        <f aca="true" t="shared" si="1" ref="I16:I24">+H16*$I$7</f>
        <v>1</v>
      </c>
      <c r="J16" s="103">
        <f aca="true" t="shared" si="2" ref="J16:J24">SUM(H16:I16)</f>
        <v>6.3</v>
      </c>
    </row>
    <row r="17" spans="1:10" ht="12.75">
      <c r="A17" s="101" t="s">
        <v>790</v>
      </c>
      <c r="B17" s="100" t="s">
        <v>893</v>
      </c>
      <c r="C17" s="99" t="s">
        <v>808</v>
      </c>
      <c r="D17" s="101" t="s">
        <v>807</v>
      </c>
      <c r="E17" s="101">
        <v>0.03</v>
      </c>
      <c r="F17" s="103">
        <v>4</v>
      </c>
      <c r="G17" s="104">
        <v>142.3</v>
      </c>
      <c r="H17" s="103">
        <f t="shared" si="0"/>
        <v>5.3</v>
      </c>
      <c r="I17" s="103">
        <f t="shared" si="1"/>
        <v>1</v>
      </c>
      <c r="J17" s="103">
        <f t="shared" si="2"/>
        <v>6.3</v>
      </c>
    </row>
    <row r="18" spans="1:10" ht="12.75">
      <c r="A18" s="101" t="s">
        <v>794</v>
      </c>
      <c r="B18" s="100" t="s">
        <v>894</v>
      </c>
      <c r="C18" s="99" t="s">
        <v>809</v>
      </c>
      <c r="D18" s="101" t="s">
        <v>807</v>
      </c>
      <c r="E18" s="101">
        <v>0.1</v>
      </c>
      <c r="F18" s="103">
        <v>4</v>
      </c>
      <c r="G18" s="104">
        <v>142.3</v>
      </c>
      <c r="H18" s="103">
        <f t="shared" si="0"/>
        <v>17.8</v>
      </c>
      <c r="I18" s="103">
        <f t="shared" si="1"/>
        <v>3.2</v>
      </c>
      <c r="J18" s="103">
        <f t="shared" si="2"/>
        <v>21</v>
      </c>
    </row>
    <row r="19" spans="1:10" ht="12.75">
      <c r="A19" s="101" t="s">
        <v>798</v>
      </c>
      <c r="B19" s="100" t="s">
        <v>895</v>
      </c>
      <c r="C19" s="99" t="s">
        <v>810</v>
      </c>
      <c r="D19" s="101" t="s">
        <v>811</v>
      </c>
      <c r="E19" s="101">
        <v>0.06</v>
      </c>
      <c r="F19" s="103">
        <v>4</v>
      </c>
      <c r="G19" s="104">
        <v>142.3</v>
      </c>
      <c r="H19" s="103">
        <f t="shared" si="0"/>
        <v>10.7</v>
      </c>
      <c r="I19" s="103">
        <f t="shared" si="1"/>
        <v>1.9</v>
      </c>
      <c r="J19" s="103">
        <f t="shared" si="2"/>
        <v>12.6</v>
      </c>
    </row>
    <row r="20" spans="1:10" ht="12.75">
      <c r="A20" s="101" t="s">
        <v>802</v>
      </c>
      <c r="B20" s="100" t="s">
        <v>896</v>
      </c>
      <c r="C20" s="99" t="s">
        <v>812</v>
      </c>
      <c r="D20" s="101" t="s">
        <v>811</v>
      </c>
      <c r="E20" s="104">
        <v>0.04</v>
      </c>
      <c r="F20" s="103">
        <v>4</v>
      </c>
      <c r="G20" s="104">
        <v>142.3</v>
      </c>
      <c r="H20" s="103">
        <f t="shared" si="0"/>
        <v>7.1</v>
      </c>
      <c r="I20" s="103">
        <f t="shared" si="1"/>
        <v>1.3</v>
      </c>
      <c r="J20" s="103">
        <f t="shared" si="2"/>
        <v>8.4</v>
      </c>
    </row>
    <row r="21" spans="1:10" ht="12.75">
      <c r="A21" s="101" t="s">
        <v>813</v>
      </c>
      <c r="B21" s="100" t="s">
        <v>897</v>
      </c>
      <c r="C21" s="99" t="s">
        <v>814</v>
      </c>
      <c r="D21" s="101" t="s">
        <v>811</v>
      </c>
      <c r="E21" s="104">
        <v>0.06</v>
      </c>
      <c r="F21" s="103">
        <v>4</v>
      </c>
      <c r="G21" s="104">
        <v>142.3</v>
      </c>
      <c r="H21" s="103">
        <f t="shared" si="0"/>
        <v>10.7</v>
      </c>
      <c r="I21" s="103">
        <f t="shared" si="1"/>
        <v>1.9</v>
      </c>
      <c r="J21" s="103">
        <f t="shared" si="2"/>
        <v>12.6</v>
      </c>
    </row>
    <row r="22" spans="1:10" ht="12.75">
      <c r="A22" s="101" t="s">
        <v>815</v>
      </c>
      <c r="B22" s="100" t="s">
        <v>898</v>
      </c>
      <c r="C22" s="99" t="s">
        <v>816</v>
      </c>
      <c r="D22" s="101" t="s">
        <v>811</v>
      </c>
      <c r="E22" s="104">
        <v>0.11</v>
      </c>
      <c r="F22" s="103">
        <v>4</v>
      </c>
      <c r="G22" s="104">
        <v>142.3</v>
      </c>
      <c r="H22" s="103">
        <f t="shared" si="0"/>
        <v>19.6</v>
      </c>
      <c r="I22" s="103">
        <f t="shared" si="1"/>
        <v>3.5</v>
      </c>
      <c r="J22" s="103">
        <f t="shared" si="2"/>
        <v>23.1</v>
      </c>
    </row>
    <row r="23" spans="1:10" ht="12.75">
      <c r="A23" s="101" t="s">
        <v>817</v>
      </c>
      <c r="B23" s="100" t="s">
        <v>899</v>
      </c>
      <c r="C23" s="99" t="s">
        <v>818</v>
      </c>
      <c r="D23" s="101" t="s">
        <v>811</v>
      </c>
      <c r="E23" s="104">
        <v>0.18</v>
      </c>
      <c r="F23" s="103">
        <v>4</v>
      </c>
      <c r="G23" s="104">
        <v>142.3</v>
      </c>
      <c r="H23" s="103">
        <f t="shared" si="0"/>
        <v>32</v>
      </c>
      <c r="I23" s="103">
        <f t="shared" si="1"/>
        <v>5.8</v>
      </c>
      <c r="J23" s="103">
        <f t="shared" si="2"/>
        <v>37.8</v>
      </c>
    </row>
    <row r="24" spans="1:10" ht="12.75">
      <c r="A24" s="101" t="s">
        <v>819</v>
      </c>
      <c r="B24" s="100" t="s">
        <v>900</v>
      </c>
      <c r="C24" s="99" t="s">
        <v>820</v>
      </c>
      <c r="D24" s="101" t="s">
        <v>811</v>
      </c>
      <c r="E24" s="104">
        <v>0.26</v>
      </c>
      <c r="F24" s="103">
        <v>4</v>
      </c>
      <c r="G24" s="104">
        <v>142.3</v>
      </c>
      <c r="H24" s="103">
        <f t="shared" si="0"/>
        <v>46.2</v>
      </c>
      <c r="I24" s="103">
        <f t="shared" si="1"/>
        <v>8.3</v>
      </c>
      <c r="J24" s="103">
        <f t="shared" si="2"/>
        <v>54.5</v>
      </c>
    </row>
    <row r="25" spans="1:10" ht="12.75">
      <c r="A25" s="97" t="s">
        <v>608</v>
      </c>
      <c r="B25" s="98" t="s">
        <v>821</v>
      </c>
      <c r="C25" s="99"/>
      <c r="D25" s="101"/>
      <c r="E25" s="104"/>
      <c r="F25" s="101"/>
      <c r="G25" s="104"/>
      <c r="H25" s="103"/>
      <c r="I25" s="103"/>
      <c r="J25" s="103"/>
    </row>
    <row r="26" spans="1:10" ht="12.75">
      <c r="A26" s="101" t="s">
        <v>787</v>
      </c>
      <c r="B26" s="100" t="s">
        <v>822</v>
      </c>
      <c r="C26" s="99" t="s">
        <v>823</v>
      </c>
      <c r="D26" s="101" t="s">
        <v>807</v>
      </c>
      <c r="E26" s="104">
        <v>0.1</v>
      </c>
      <c r="F26" s="103">
        <v>4</v>
      </c>
      <c r="G26" s="104">
        <v>142.3</v>
      </c>
      <c r="H26" s="103">
        <f aca="true" t="shared" si="3" ref="H26:H40">E26*G26*1.25</f>
        <v>17.8</v>
      </c>
      <c r="I26" s="103">
        <f aca="true" t="shared" si="4" ref="I26:I40">+H26*$I$7</f>
        <v>3.2</v>
      </c>
      <c r="J26" s="103">
        <f aca="true" t="shared" si="5" ref="J26:J40">SUM(H26:I26)</f>
        <v>21</v>
      </c>
    </row>
    <row r="27" spans="1:10" ht="12.75">
      <c r="A27" s="101" t="s">
        <v>790</v>
      </c>
      <c r="B27" s="100" t="s">
        <v>824</v>
      </c>
      <c r="C27" s="99" t="s">
        <v>825</v>
      </c>
      <c r="D27" s="101" t="s">
        <v>807</v>
      </c>
      <c r="E27" s="104">
        <v>0.18</v>
      </c>
      <c r="F27" s="103">
        <v>4</v>
      </c>
      <c r="G27" s="104">
        <v>142.3</v>
      </c>
      <c r="H27" s="103">
        <f t="shared" si="3"/>
        <v>32</v>
      </c>
      <c r="I27" s="103">
        <f t="shared" si="4"/>
        <v>5.8</v>
      </c>
      <c r="J27" s="103">
        <f t="shared" si="5"/>
        <v>37.8</v>
      </c>
    </row>
    <row r="28" spans="1:10" ht="12.75">
      <c r="A28" s="101" t="s">
        <v>794</v>
      </c>
      <c r="B28" s="100" t="s">
        <v>826</v>
      </c>
      <c r="C28" s="99" t="s">
        <v>827</v>
      </c>
      <c r="D28" s="101" t="s">
        <v>807</v>
      </c>
      <c r="E28" s="104">
        <v>0.2</v>
      </c>
      <c r="F28" s="103">
        <v>4</v>
      </c>
      <c r="G28" s="104">
        <v>142.3</v>
      </c>
      <c r="H28" s="103">
        <f t="shared" si="3"/>
        <v>35.6</v>
      </c>
      <c r="I28" s="103">
        <f t="shared" si="4"/>
        <v>6.4</v>
      </c>
      <c r="J28" s="103">
        <f t="shared" si="5"/>
        <v>42</v>
      </c>
    </row>
    <row r="29" spans="1:10" ht="12.75">
      <c r="A29" s="101" t="s">
        <v>798</v>
      </c>
      <c r="B29" s="100" t="s">
        <v>828</v>
      </c>
      <c r="C29" s="99" t="s">
        <v>829</v>
      </c>
      <c r="D29" s="101" t="s">
        <v>807</v>
      </c>
      <c r="E29" s="104">
        <v>0.26</v>
      </c>
      <c r="F29" s="103">
        <v>4</v>
      </c>
      <c r="G29" s="104">
        <v>142.3</v>
      </c>
      <c r="H29" s="103">
        <f t="shared" si="3"/>
        <v>46.2</v>
      </c>
      <c r="I29" s="103">
        <f t="shared" si="4"/>
        <v>8.3</v>
      </c>
      <c r="J29" s="103">
        <f t="shared" si="5"/>
        <v>54.5</v>
      </c>
    </row>
    <row r="30" spans="1:10" ht="12.75">
      <c r="A30" s="101" t="s">
        <v>802</v>
      </c>
      <c r="B30" s="100" t="s">
        <v>830</v>
      </c>
      <c r="C30" s="99" t="s">
        <v>831</v>
      </c>
      <c r="D30" s="101" t="s">
        <v>811</v>
      </c>
      <c r="E30" s="104">
        <v>0.12</v>
      </c>
      <c r="F30" s="103">
        <v>4</v>
      </c>
      <c r="G30" s="104">
        <v>142.3</v>
      </c>
      <c r="H30" s="103">
        <f t="shared" si="3"/>
        <v>21.3</v>
      </c>
      <c r="I30" s="103">
        <f t="shared" si="4"/>
        <v>3.8</v>
      </c>
      <c r="J30" s="103">
        <f t="shared" si="5"/>
        <v>25.1</v>
      </c>
    </row>
    <row r="31" spans="1:10" ht="12.75">
      <c r="A31" s="101" t="s">
        <v>813</v>
      </c>
      <c r="B31" s="100" t="s">
        <v>832</v>
      </c>
      <c r="C31" s="99" t="s">
        <v>833</v>
      </c>
      <c r="D31" s="101" t="s">
        <v>811</v>
      </c>
      <c r="E31" s="104">
        <v>0.14</v>
      </c>
      <c r="F31" s="103">
        <v>4</v>
      </c>
      <c r="G31" s="104">
        <v>142.3</v>
      </c>
      <c r="H31" s="103">
        <f t="shared" si="3"/>
        <v>24.9</v>
      </c>
      <c r="I31" s="103">
        <f t="shared" si="4"/>
        <v>4.5</v>
      </c>
      <c r="J31" s="103">
        <f t="shared" si="5"/>
        <v>29.4</v>
      </c>
    </row>
    <row r="32" spans="1:10" ht="12.75">
      <c r="A32" s="101" t="s">
        <v>815</v>
      </c>
      <c r="B32" s="100" t="s">
        <v>834</v>
      </c>
      <c r="C32" s="99" t="s">
        <v>835</v>
      </c>
      <c r="D32" s="101" t="s">
        <v>811</v>
      </c>
      <c r="E32" s="104">
        <v>0.09</v>
      </c>
      <c r="F32" s="103">
        <v>4</v>
      </c>
      <c r="G32" s="104">
        <v>142.3</v>
      </c>
      <c r="H32" s="103">
        <f t="shared" si="3"/>
        <v>16</v>
      </c>
      <c r="I32" s="103">
        <f t="shared" si="4"/>
        <v>2.9</v>
      </c>
      <c r="J32" s="103">
        <f t="shared" si="5"/>
        <v>18.9</v>
      </c>
    </row>
    <row r="33" spans="1:10" ht="12.75">
      <c r="A33" s="101" t="s">
        <v>817</v>
      </c>
      <c r="B33" s="100" t="s">
        <v>836</v>
      </c>
      <c r="C33" s="99" t="s">
        <v>837</v>
      </c>
      <c r="D33" s="101" t="s">
        <v>811</v>
      </c>
      <c r="E33" s="104">
        <v>0.1</v>
      </c>
      <c r="F33" s="103">
        <v>4</v>
      </c>
      <c r="G33" s="104">
        <v>142.3</v>
      </c>
      <c r="H33" s="103">
        <f t="shared" si="3"/>
        <v>17.8</v>
      </c>
      <c r="I33" s="103">
        <f t="shared" si="4"/>
        <v>3.2</v>
      </c>
      <c r="J33" s="103">
        <f t="shared" si="5"/>
        <v>21</v>
      </c>
    </row>
    <row r="34" spans="1:10" ht="12.75">
      <c r="A34" s="101" t="s">
        <v>819</v>
      </c>
      <c r="B34" s="100" t="s">
        <v>838</v>
      </c>
      <c r="C34" s="99" t="s">
        <v>839</v>
      </c>
      <c r="D34" s="101" t="s">
        <v>811</v>
      </c>
      <c r="E34" s="104">
        <v>0.29</v>
      </c>
      <c r="F34" s="103">
        <v>4</v>
      </c>
      <c r="G34" s="104">
        <v>142.3</v>
      </c>
      <c r="H34" s="103">
        <f t="shared" si="3"/>
        <v>51.6</v>
      </c>
      <c r="I34" s="103">
        <f t="shared" si="4"/>
        <v>9.3</v>
      </c>
      <c r="J34" s="103">
        <f t="shared" si="5"/>
        <v>60.9</v>
      </c>
    </row>
    <row r="35" spans="1:10" ht="12.75">
      <c r="A35" s="101" t="s">
        <v>840</v>
      </c>
      <c r="B35" s="100" t="s">
        <v>841</v>
      </c>
      <c r="C35" s="99" t="s">
        <v>842</v>
      </c>
      <c r="D35" s="101" t="s">
        <v>811</v>
      </c>
      <c r="E35" s="104">
        <v>0.75</v>
      </c>
      <c r="F35" s="103">
        <v>4</v>
      </c>
      <c r="G35" s="104">
        <v>142.3</v>
      </c>
      <c r="H35" s="103">
        <f t="shared" si="3"/>
        <v>133.4</v>
      </c>
      <c r="I35" s="103">
        <f t="shared" si="4"/>
        <v>24</v>
      </c>
      <c r="J35" s="103">
        <f t="shared" si="5"/>
        <v>157.4</v>
      </c>
    </row>
    <row r="36" spans="1:10" ht="12.75">
      <c r="A36" s="101" t="s">
        <v>843</v>
      </c>
      <c r="B36" s="100" t="s">
        <v>844</v>
      </c>
      <c r="C36" s="99" t="s">
        <v>845</v>
      </c>
      <c r="D36" s="101" t="s">
        <v>811</v>
      </c>
      <c r="E36" s="104">
        <v>0.14</v>
      </c>
      <c r="F36" s="103">
        <v>4</v>
      </c>
      <c r="G36" s="104">
        <v>142.3</v>
      </c>
      <c r="H36" s="103">
        <f t="shared" si="3"/>
        <v>24.9</v>
      </c>
      <c r="I36" s="103">
        <f t="shared" si="4"/>
        <v>4.5</v>
      </c>
      <c r="J36" s="103">
        <f t="shared" si="5"/>
        <v>29.4</v>
      </c>
    </row>
    <row r="37" spans="1:10" ht="12.75">
      <c r="A37" s="101" t="s">
        <v>846</v>
      </c>
      <c r="B37" s="100" t="s">
        <v>847</v>
      </c>
      <c r="C37" s="99" t="s">
        <v>848</v>
      </c>
      <c r="D37" s="101" t="s">
        <v>811</v>
      </c>
      <c r="E37" s="104">
        <v>0.62</v>
      </c>
      <c r="F37" s="103">
        <v>4</v>
      </c>
      <c r="G37" s="104">
        <v>142.3</v>
      </c>
      <c r="H37" s="103">
        <f t="shared" si="3"/>
        <v>110.3</v>
      </c>
      <c r="I37" s="103">
        <f t="shared" si="4"/>
        <v>19.9</v>
      </c>
      <c r="J37" s="103">
        <f t="shared" si="5"/>
        <v>130.2</v>
      </c>
    </row>
    <row r="38" spans="1:10" ht="12.75">
      <c r="A38" s="101" t="s">
        <v>849</v>
      </c>
      <c r="B38" s="100" t="s">
        <v>850</v>
      </c>
      <c r="C38" s="99" t="s">
        <v>851</v>
      </c>
      <c r="D38" s="101" t="s">
        <v>811</v>
      </c>
      <c r="E38" s="104">
        <v>0.26</v>
      </c>
      <c r="F38" s="103">
        <v>4</v>
      </c>
      <c r="G38" s="104">
        <v>142.3</v>
      </c>
      <c r="H38" s="103">
        <f t="shared" si="3"/>
        <v>46.2</v>
      </c>
      <c r="I38" s="103">
        <f t="shared" si="4"/>
        <v>8.3</v>
      </c>
      <c r="J38" s="103">
        <f t="shared" si="5"/>
        <v>54.5</v>
      </c>
    </row>
    <row r="39" spans="1:10" ht="12.75">
      <c r="A39" s="101" t="s">
        <v>852</v>
      </c>
      <c r="B39" s="100" t="s">
        <v>853</v>
      </c>
      <c r="C39" s="99" t="s">
        <v>854</v>
      </c>
      <c r="D39" s="101" t="s">
        <v>811</v>
      </c>
      <c r="E39" s="104">
        <v>0.45</v>
      </c>
      <c r="F39" s="103">
        <v>4</v>
      </c>
      <c r="G39" s="104">
        <v>142.3</v>
      </c>
      <c r="H39" s="103">
        <f t="shared" si="3"/>
        <v>80</v>
      </c>
      <c r="I39" s="103">
        <f t="shared" si="4"/>
        <v>14.4</v>
      </c>
      <c r="J39" s="103">
        <f t="shared" si="5"/>
        <v>94.4</v>
      </c>
    </row>
    <row r="40" spans="1:10" ht="12.75">
      <c r="A40" s="101" t="s">
        <v>855</v>
      </c>
      <c r="B40" s="100" t="s">
        <v>856</v>
      </c>
      <c r="C40" s="99" t="s">
        <v>857</v>
      </c>
      <c r="D40" s="101" t="s">
        <v>811</v>
      </c>
      <c r="E40" s="104">
        <v>0.71</v>
      </c>
      <c r="F40" s="103">
        <v>4</v>
      </c>
      <c r="G40" s="104">
        <v>142.3</v>
      </c>
      <c r="H40" s="103">
        <f t="shared" si="3"/>
        <v>126.3</v>
      </c>
      <c r="I40" s="103">
        <f t="shared" si="4"/>
        <v>22.7</v>
      </c>
      <c r="J40" s="103">
        <f t="shared" si="5"/>
        <v>149</v>
      </c>
    </row>
    <row r="41" spans="1:10" ht="12.75">
      <c r="A41" s="97" t="s">
        <v>620</v>
      </c>
      <c r="B41" s="98" t="s">
        <v>858</v>
      </c>
      <c r="C41" s="99"/>
      <c r="D41" s="101"/>
      <c r="E41" s="104"/>
      <c r="F41" s="101"/>
      <c r="G41" s="104"/>
      <c r="H41" s="103"/>
      <c r="I41" s="103"/>
      <c r="J41" s="103"/>
    </row>
    <row r="42" spans="1:10" ht="12.75">
      <c r="A42" s="101" t="s">
        <v>787</v>
      </c>
      <c r="B42" s="100" t="s">
        <v>901</v>
      </c>
      <c r="C42" s="99" t="s">
        <v>859</v>
      </c>
      <c r="D42" s="101" t="s">
        <v>811</v>
      </c>
      <c r="E42" s="104">
        <v>0.07</v>
      </c>
      <c r="F42" s="103">
        <v>4</v>
      </c>
      <c r="G42" s="104">
        <v>142.3</v>
      </c>
      <c r="H42" s="103">
        <f aca="true" t="shared" si="6" ref="H42:H51">E42*G42*1.25</f>
        <v>12.5</v>
      </c>
      <c r="I42" s="103">
        <f aca="true" t="shared" si="7" ref="I42:I51">+H42*$I$7</f>
        <v>2.3</v>
      </c>
      <c r="J42" s="103">
        <f>SUM(H42:I42)-0.1</f>
        <v>14.7</v>
      </c>
    </row>
    <row r="43" spans="1:10" ht="12.75">
      <c r="A43" s="101" t="s">
        <v>790</v>
      </c>
      <c r="B43" s="100" t="s">
        <v>902</v>
      </c>
      <c r="C43" s="99" t="s">
        <v>860</v>
      </c>
      <c r="D43" s="101" t="s">
        <v>811</v>
      </c>
      <c r="E43" s="104">
        <v>0.14</v>
      </c>
      <c r="F43" s="103">
        <v>4</v>
      </c>
      <c r="G43" s="104">
        <v>142.3</v>
      </c>
      <c r="H43" s="103">
        <f t="shared" si="6"/>
        <v>24.9</v>
      </c>
      <c r="I43" s="103">
        <f t="shared" si="7"/>
        <v>4.5</v>
      </c>
      <c r="J43" s="103">
        <f>SUM(H43:I43)</f>
        <v>29.4</v>
      </c>
    </row>
    <row r="44" spans="1:10" ht="12.75">
      <c r="A44" s="101" t="s">
        <v>794</v>
      </c>
      <c r="B44" s="100" t="s">
        <v>903</v>
      </c>
      <c r="C44" s="99" t="s">
        <v>861</v>
      </c>
      <c r="D44" s="101" t="s">
        <v>811</v>
      </c>
      <c r="E44" s="104">
        <v>0.89</v>
      </c>
      <c r="F44" s="103">
        <v>4</v>
      </c>
      <c r="G44" s="104">
        <v>142.3</v>
      </c>
      <c r="H44" s="103">
        <f t="shared" si="6"/>
        <v>158.3</v>
      </c>
      <c r="I44" s="103">
        <f t="shared" si="7"/>
        <v>28.5</v>
      </c>
      <c r="J44" s="103">
        <f>SUM(H44:I44)+0.1</f>
        <v>186.9</v>
      </c>
    </row>
    <row r="45" spans="1:10" ht="12.75">
      <c r="A45" s="101" t="s">
        <v>798</v>
      </c>
      <c r="B45" s="100" t="s">
        <v>904</v>
      </c>
      <c r="C45" s="99" t="s">
        <v>862</v>
      </c>
      <c r="D45" s="101" t="s">
        <v>811</v>
      </c>
      <c r="E45" s="104">
        <v>1.63</v>
      </c>
      <c r="F45" s="103">
        <v>4</v>
      </c>
      <c r="G45" s="104">
        <v>142.3</v>
      </c>
      <c r="H45" s="103">
        <f t="shared" si="6"/>
        <v>289.9</v>
      </c>
      <c r="I45" s="103">
        <f t="shared" si="7"/>
        <v>52.2</v>
      </c>
      <c r="J45" s="103">
        <f aca="true" t="shared" si="8" ref="J45:J51">SUM(H45:I45)</f>
        <v>342.1</v>
      </c>
    </row>
    <row r="46" spans="1:10" ht="12.75">
      <c r="A46" s="101" t="s">
        <v>802</v>
      </c>
      <c r="B46" s="100" t="s">
        <v>905</v>
      </c>
      <c r="C46" s="99" t="s">
        <v>863</v>
      </c>
      <c r="D46" s="101" t="s">
        <v>811</v>
      </c>
      <c r="E46" s="104">
        <v>0.24</v>
      </c>
      <c r="F46" s="103">
        <v>4</v>
      </c>
      <c r="G46" s="104">
        <v>142.3</v>
      </c>
      <c r="H46" s="103">
        <f t="shared" si="6"/>
        <v>42.7</v>
      </c>
      <c r="I46" s="103">
        <f t="shared" si="7"/>
        <v>7.7</v>
      </c>
      <c r="J46" s="103">
        <f t="shared" si="8"/>
        <v>50.4</v>
      </c>
    </row>
    <row r="47" spans="1:10" ht="12.75">
      <c r="A47" s="101" t="s">
        <v>813</v>
      </c>
      <c r="B47" s="100" t="s">
        <v>906</v>
      </c>
      <c r="C47" s="99" t="s">
        <v>864</v>
      </c>
      <c r="D47" s="101" t="s">
        <v>811</v>
      </c>
      <c r="E47" s="104">
        <v>0.24</v>
      </c>
      <c r="F47" s="103">
        <v>4</v>
      </c>
      <c r="G47" s="104">
        <v>142.3</v>
      </c>
      <c r="H47" s="103">
        <f t="shared" si="6"/>
        <v>42.7</v>
      </c>
      <c r="I47" s="103">
        <f t="shared" si="7"/>
        <v>7.7</v>
      </c>
      <c r="J47" s="103">
        <f t="shared" si="8"/>
        <v>50.4</v>
      </c>
    </row>
    <row r="48" spans="1:10" ht="12.75">
      <c r="A48" s="101" t="s">
        <v>815</v>
      </c>
      <c r="B48" s="100" t="s">
        <v>907</v>
      </c>
      <c r="C48" s="99" t="s">
        <v>865</v>
      </c>
      <c r="D48" s="101" t="s">
        <v>811</v>
      </c>
      <c r="E48" s="104">
        <v>0.87</v>
      </c>
      <c r="F48" s="103">
        <v>4</v>
      </c>
      <c r="G48" s="104">
        <v>142.3</v>
      </c>
      <c r="H48" s="103">
        <f t="shared" si="6"/>
        <v>154.8</v>
      </c>
      <c r="I48" s="103">
        <f t="shared" si="7"/>
        <v>27.9</v>
      </c>
      <c r="J48" s="103">
        <f t="shared" si="8"/>
        <v>182.7</v>
      </c>
    </row>
    <row r="49" spans="1:10" ht="12.75">
      <c r="A49" s="101" t="s">
        <v>817</v>
      </c>
      <c r="B49" s="100" t="s">
        <v>908</v>
      </c>
      <c r="C49" s="99" t="s">
        <v>866</v>
      </c>
      <c r="D49" s="101" t="s">
        <v>811</v>
      </c>
      <c r="E49" s="104">
        <v>0.4</v>
      </c>
      <c r="F49" s="103">
        <v>4</v>
      </c>
      <c r="G49" s="104">
        <v>142.3</v>
      </c>
      <c r="H49" s="103">
        <f t="shared" si="6"/>
        <v>71.2</v>
      </c>
      <c r="I49" s="103">
        <f t="shared" si="7"/>
        <v>12.8</v>
      </c>
      <c r="J49" s="103">
        <f t="shared" si="8"/>
        <v>84</v>
      </c>
    </row>
    <row r="50" spans="1:10" ht="12.75">
      <c r="A50" s="101" t="s">
        <v>819</v>
      </c>
      <c r="B50" s="100" t="s">
        <v>909</v>
      </c>
      <c r="C50" s="99" t="s">
        <v>867</v>
      </c>
      <c r="D50" s="101" t="s">
        <v>811</v>
      </c>
      <c r="E50" s="104">
        <v>1.21</v>
      </c>
      <c r="F50" s="103">
        <v>4</v>
      </c>
      <c r="G50" s="104">
        <v>142.3</v>
      </c>
      <c r="H50" s="103">
        <f t="shared" si="6"/>
        <v>215.2</v>
      </c>
      <c r="I50" s="103">
        <f t="shared" si="7"/>
        <v>38.7</v>
      </c>
      <c r="J50" s="103">
        <f t="shared" si="8"/>
        <v>253.9</v>
      </c>
    </row>
    <row r="51" spans="1:10" ht="12.75">
      <c r="A51" s="101" t="s">
        <v>840</v>
      </c>
      <c r="B51" s="100" t="s">
        <v>910</v>
      </c>
      <c r="C51" s="99" t="s">
        <v>868</v>
      </c>
      <c r="D51" s="101" t="s">
        <v>811</v>
      </c>
      <c r="E51" s="104">
        <v>4.83</v>
      </c>
      <c r="F51" s="103">
        <v>4</v>
      </c>
      <c r="G51" s="104">
        <v>142.3</v>
      </c>
      <c r="H51" s="103">
        <f t="shared" si="6"/>
        <v>859.1</v>
      </c>
      <c r="I51" s="103">
        <f t="shared" si="7"/>
        <v>154.6</v>
      </c>
      <c r="J51" s="103">
        <f t="shared" si="8"/>
        <v>1013.7</v>
      </c>
    </row>
    <row r="52" spans="1:10" ht="12.75">
      <c r="A52" s="97" t="s">
        <v>621</v>
      </c>
      <c r="B52" s="98" t="s">
        <v>869</v>
      </c>
      <c r="C52" s="99"/>
      <c r="D52" s="101"/>
      <c r="E52" s="104"/>
      <c r="F52" s="101"/>
      <c r="G52" s="104"/>
      <c r="H52" s="103"/>
      <c r="I52" s="103"/>
      <c r="J52" s="103"/>
    </row>
    <row r="53" spans="1:10" ht="12.75">
      <c r="A53" s="101" t="s">
        <v>787</v>
      </c>
      <c r="B53" s="100" t="s">
        <v>870</v>
      </c>
      <c r="C53" s="99" t="s">
        <v>871</v>
      </c>
      <c r="D53" s="101" t="s">
        <v>872</v>
      </c>
      <c r="E53" s="104">
        <v>0.06</v>
      </c>
      <c r="F53" s="101">
        <v>4</v>
      </c>
      <c r="G53" s="104">
        <v>142.3</v>
      </c>
      <c r="H53" s="103">
        <f aca="true" t="shared" si="9" ref="H53:H60">E53*G53*1.25</f>
        <v>10.7</v>
      </c>
      <c r="I53" s="103">
        <f aca="true" t="shared" si="10" ref="I53:I60">+H53*$I$7</f>
        <v>1.9</v>
      </c>
      <c r="J53" s="103">
        <f aca="true" t="shared" si="11" ref="J53:J60">SUM(H53:I53)</f>
        <v>12.6</v>
      </c>
    </row>
    <row r="54" spans="1:10" ht="12.75">
      <c r="A54" s="101" t="s">
        <v>790</v>
      </c>
      <c r="B54" s="100" t="s">
        <v>873</v>
      </c>
      <c r="C54" s="99" t="s">
        <v>874</v>
      </c>
      <c r="D54" s="101" t="s">
        <v>872</v>
      </c>
      <c r="E54" s="104">
        <v>0.05</v>
      </c>
      <c r="F54" s="101">
        <v>4</v>
      </c>
      <c r="G54" s="104">
        <v>142.3</v>
      </c>
      <c r="H54" s="103">
        <f t="shared" si="9"/>
        <v>8.9</v>
      </c>
      <c r="I54" s="103">
        <f t="shared" si="10"/>
        <v>1.6</v>
      </c>
      <c r="J54" s="103">
        <f t="shared" si="11"/>
        <v>10.5</v>
      </c>
    </row>
    <row r="55" spans="1:10" ht="12.75">
      <c r="A55" s="101" t="s">
        <v>794</v>
      </c>
      <c r="B55" s="100" t="s">
        <v>875</v>
      </c>
      <c r="C55" s="99" t="s">
        <v>876</v>
      </c>
      <c r="D55" s="101" t="s">
        <v>872</v>
      </c>
      <c r="E55" s="104">
        <v>0.08</v>
      </c>
      <c r="F55" s="101">
        <v>4</v>
      </c>
      <c r="G55" s="104">
        <v>142.3</v>
      </c>
      <c r="H55" s="103">
        <f t="shared" si="9"/>
        <v>14.2</v>
      </c>
      <c r="I55" s="103">
        <f t="shared" si="10"/>
        <v>2.6</v>
      </c>
      <c r="J55" s="103">
        <f t="shared" si="11"/>
        <v>16.8</v>
      </c>
    </row>
    <row r="56" spans="1:10" ht="12.75">
      <c r="A56" s="101" t="s">
        <v>798</v>
      </c>
      <c r="B56" s="100" t="s">
        <v>877</v>
      </c>
      <c r="C56" s="99" t="s">
        <v>878</v>
      </c>
      <c r="D56" s="101" t="s">
        <v>872</v>
      </c>
      <c r="E56" s="101">
        <v>0.42</v>
      </c>
      <c r="F56" s="101">
        <v>4</v>
      </c>
      <c r="G56" s="104">
        <v>142.3</v>
      </c>
      <c r="H56" s="103">
        <f t="shared" si="9"/>
        <v>74.7</v>
      </c>
      <c r="I56" s="103">
        <f t="shared" si="10"/>
        <v>13.4</v>
      </c>
      <c r="J56" s="103">
        <f t="shared" si="11"/>
        <v>88.1</v>
      </c>
    </row>
    <row r="57" spans="1:10" ht="12.75">
      <c r="A57" s="101" t="s">
        <v>802</v>
      </c>
      <c r="B57" s="100" t="s">
        <v>879</v>
      </c>
      <c r="C57" s="99" t="s">
        <v>880</v>
      </c>
      <c r="D57" s="101" t="s">
        <v>872</v>
      </c>
      <c r="E57" s="101">
        <v>0.66</v>
      </c>
      <c r="F57" s="101">
        <v>4</v>
      </c>
      <c r="G57" s="104">
        <v>142.3</v>
      </c>
      <c r="H57" s="103">
        <f t="shared" si="9"/>
        <v>117.4</v>
      </c>
      <c r="I57" s="103">
        <f t="shared" si="10"/>
        <v>21.1</v>
      </c>
      <c r="J57" s="103">
        <f t="shared" si="11"/>
        <v>138.5</v>
      </c>
    </row>
    <row r="58" spans="1:10" ht="12.75">
      <c r="A58" s="101" t="s">
        <v>794</v>
      </c>
      <c r="B58" s="100" t="s">
        <v>881</v>
      </c>
      <c r="C58" s="99" t="s">
        <v>882</v>
      </c>
      <c r="D58" s="101" t="s">
        <v>811</v>
      </c>
      <c r="E58" s="104">
        <v>0.39</v>
      </c>
      <c r="F58" s="101">
        <v>4</v>
      </c>
      <c r="G58" s="104">
        <v>142.3</v>
      </c>
      <c r="H58" s="103">
        <f t="shared" si="9"/>
        <v>69.4</v>
      </c>
      <c r="I58" s="103">
        <f t="shared" si="10"/>
        <v>12.5</v>
      </c>
      <c r="J58" s="103">
        <f t="shared" si="11"/>
        <v>81.9</v>
      </c>
    </row>
    <row r="59" spans="1:10" ht="12.75">
      <c r="A59" s="101" t="s">
        <v>798</v>
      </c>
      <c r="B59" s="100" t="s">
        <v>883</v>
      </c>
      <c r="C59" s="99" t="s">
        <v>884</v>
      </c>
      <c r="D59" s="101" t="s">
        <v>811</v>
      </c>
      <c r="E59" s="101">
        <v>0.68</v>
      </c>
      <c r="F59" s="101">
        <v>4</v>
      </c>
      <c r="G59" s="104">
        <v>142.3</v>
      </c>
      <c r="H59" s="103">
        <f t="shared" si="9"/>
        <v>121</v>
      </c>
      <c r="I59" s="103">
        <f t="shared" si="10"/>
        <v>21.8</v>
      </c>
      <c r="J59" s="103">
        <f t="shared" si="11"/>
        <v>142.8</v>
      </c>
    </row>
    <row r="60" spans="1:10" ht="12.75">
      <c r="A60" s="101" t="s">
        <v>802</v>
      </c>
      <c r="B60" s="100" t="s">
        <v>885</v>
      </c>
      <c r="C60" s="99" t="s">
        <v>886</v>
      </c>
      <c r="D60" s="101" t="s">
        <v>811</v>
      </c>
      <c r="E60" s="101">
        <v>0.88</v>
      </c>
      <c r="F60" s="101">
        <v>4</v>
      </c>
      <c r="G60" s="104">
        <v>142.3</v>
      </c>
      <c r="H60" s="103">
        <f t="shared" si="9"/>
        <v>156.5</v>
      </c>
      <c r="I60" s="103">
        <f t="shared" si="10"/>
        <v>28.2</v>
      </c>
      <c r="J60" s="103">
        <f t="shared" si="11"/>
        <v>184.7</v>
      </c>
    </row>
    <row r="61" spans="1:10" ht="12.75">
      <c r="A61" s="105" t="s">
        <v>887</v>
      </c>
      <c r="B61" s="106"/>
      <c r="C61" s="107"/>
      <c r="D61" s="81"/>
      <c r="E61" s="81"/>
      <c r="F61" s="81"/>
      <c r="G61" s="81"/>
      <c r="H61" s="81"/>
      <c r="I61" s="81"/>
      <c r="J61" s="80"/>
    </row>
    <row r="62" spans="1:10" ht="12.75">
      <c r="A62" s="107" t="s">
        <v>888</v>
      </c>
      <c r="B62" s="106"/>
      <c r="C62" s="107"/>
      <c r="D62" s="81"/>
      <c r="E62" s="81"/>
      <c r="F62" s="81"/>
      <c r="G62" s="81"/>
      <c r="H62" s="81"/>
      <c r="I62" s="81"/>
      <c r="J62" s="80"/>
    </row>
    <row r="63" spans="1:10" ht="12.75">
      <c r="A63" s="107" t="s">
        <v>889</v>
      </c>
      <c r="B63" s="106"/>
      <c r="C63" s="107"/>
      <c r="D63" s="81"/>
      <c r="E63" s="81"/>
      <c r="F63" s="81"/>
      <c r="G63" s="81"/>
      <c r="H63" s="81"/>
      <c r="I63" s="81"/>
      <c r="J63" s="80"/>
    </row>
    <row r="64" spans="1:10" ht="12.75">
      <c r="A64" s="107" t="s">
        <v>890</v>
      </c>
      <c r="B64" s="106"/>
      <c r="C64" s="107"/>
      <c r="D64" s="81"/>
      <c r="E64" s="81"/>
      <c r="F64" s="81"/>
      <c r="G64" s="81"/>
      <c r="H64" s="81"/>
      <c r="I64" s="81"/>
      <c r="J64" s="80"/>
    </row>
    <row r="65" spans="1:10" ht="12.75">
      <c r="A65" s="107" t="s">
        <v>891</v>
      </c>
      <c r="B65" s="106"/>
      <c r="C65" s="107"/>
      <c r="D65" s="81"/>
      <c r="E65" s="81"/>
      <c r="F65" s="81"/>
      <c r="G65" s="81"/>
      <c r="H65" s="81"/>
      <c r="I65" s="81"/>
      <c r="J65" s="81"/>
    </row>
    <row r="66" spans="1:10" ht="12.75">
      <c r="A66" s="80"/>
      <c r="B66" s="106"/>
      <c r="C66" s="107"/>
      <c r="D66" s="81"/>
      <c r="E66" s="81"/>
      <c r="F66" s="81"/>
      <c r="G66" s="81"/>
      <c r="H66" s="108"/>
      <c r="I66" s="108"/>
      <c r="J66" s="109"/>
    </row>
    <row r="67" spans="1:10" ht="12.75">
      <c r="A67" s="81"/>
      <c r="B67" s="106"/>
      <c r="C67" s="107"/>
      <c r="D67" s="81"/>
      <c r="E67" s="81"/>
      <c r="F67" s="81"/>
      <c r="G67" s="81"/>
      <c r="H67" s="81"/>
      <c r="I67" s="81"/>
      <c r="J67" s="81"/>
    </row>
    <row r="68" spans="1:10" ht="12.75">
      <c r="A68" s="81"/>
      <c r="B68" s="110"/>
      <c r="C68" s="74"/>
      <c r="D68" s="74"/>
      <c r="E68" s="74"/>
      <c r="F68" s="74"/>
      <c r="G68" s="74"/>
      <c r="H68" s="74"/>
      <c r="I68" s="74"/>
      <c r="J68" s="81"/>
    </row>
    <row r="69" spans="1:10" ht="12.75">
      <c r="A69" s="81"/>
      <c r="B69" s="70"/>
      <c r="C69" s="70"/>
      <c r="D69" s="70"/>
      <c r="E69" s="70"/>
      <c r="F69" s="70"/>
      <c r="G69" s="181"/>
      <c r="H69" s="181"/>
      <c r="I69" s="181"/>
      <c r="J69" s="81"/>
    </row>
    <row r="70" spans="1:10" ht="12.75">
      <c r="A70" s="81"/>
      <c r="B70" s="106"/>
      <c r="C70" s="107"/>
      <c r="D70" s="81"/>
      <c r="E70" s="81"/>
      <c r="F70" s="81"/>
      <c r="G70" s="81"/>
      <c r="H70" s="81"/>
      <c r="I70" s="81"/>
      <c r="J70" s="81"/>
    </row>
    <row r="74" spans="1:3" ht="12.75">
      <c r="A74" s="173"/>
      <c r="B74" s="173"/>
      <c r="C74" s="173"/>
    </row>
    <row r="75" spans="1:3" ht="15.75">
      <c r="A75" s="73"/>
      <c r="B75" s="73"/>
      <c r="C75" s="73"/>
    </row>
    <row r="76" spans="1:3" ht="15.75">
      <c r="A76" s="73"/>
      <c r="B76" s="73"/>
      <c r="C76" s="73"/>
    </row>
    <row r="77" spans="1:3" ht="12.75">
      <c r="A77" s="72"/>
      <c r="B77" s="72"/>
      <c r="C77" s="72"/>
    </row>
    <row r="78" spans="1:3" ht="12.75">
      <c r="A78" s="72"/>
      <c r="B78" s="72"/>
      <c r="C78" s="72"/>
    </row>
    <row r="79" spans="1:3" ht="12.75">
      <c r="A79" s="72"/>
      <c r="B79" s="72"/>
      <c r="C79" s="72"/>
    </row>
    <row r="80" spans="1:3" ht="12.75">
      <c r="A80" s="72"/>
      <c r="B80" s="72"/>
      <c r="C80" s="72"/>
    </row>
    <row r="81" spans="1:3" ht="12.75">
      <c r="A81" s="72"/>
      <c r="B81" s="72"/>
      <c r="C81" s="72"/>
    </row>
  </sheetData>
  <sheetProtection/>
  <mergeCells count="4">
    <mergeCell ref="A74:C74"/>
    <mergeCell ref="A2:J2"/>
    <mergeCell ref="A3:J3"/>
    <mergeCell ref="G69:I69"/>
  </mergeCells>
  <printOptions/>
  <pageMargins left="0.551181102362204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2016-03-18T06:52:58Z</cp:lastPrinted>
  <dcterms:created xsi:type="dcterms:W3CDTF">1996-10-08T23:32:33Z</dcterms:created>
  <dcterms:modified xsi:type="dcterms:W3CDTF">2016-03-18T06:53:15Z</dcterms:modified>
  <cp:category/>
  <cp:version/>
  <cp:contentType/>
  <cp:contentStatus/>
</cp:coreProperties>
</file>